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oozaa.sharepoint.com/sites/App-Development/Shared Documents/Phase 3/08_Finance/Financial Planning Global/"/>
    </mc:Choice>
  </mc:AlternateContent>
  <xr:revisionPtr revIDLastSave="856" documentId="8_{3706970E-1195-4731-9BF9-93FEC062F69D}" xr6:coauthVersionLast="47" xr6:coauthVersionMax="47" xr10:uidLastSave="{F1DE87A8-3DBD-4248-ACE1-4D6DE9A8152E}"/>
  <bookViews>
    <workbookView xWindow="-110" yWindow="-110" windowWidth="19420" windowHeight="10300" tabRatio="690" firstSheet="1" activeTab="4" xr2:uid="{00000000-000D-0000-FFFF-FFFF00000000}"/>
  </bookViews>
  <sheets>
    <sheet name="Dashboard" sheetId="2" r:id="rId1"/>
    <sheet name="InputsDetails" sheetId="1" r:id="rId2"/>
    <sheet name="InputsSummary" sheetId="3" r:id="rId3"/>
    <sheet name="Revenue" sheetId="4" r:id="rId4"/>
    <sheet name="PLMonthly" sheetId="10" r:id="rId5"/>
    <sheet name="PLAnnualSummary" sheetId="5" r:id="rId6"/>
    <sheet name="CashFlow" sheetId="7" r:id="rId7"/>
    <sheet name="KPIs" sheetId="6" r:id="rId8"/>
    <sheet name="Invest Conditions" sheetId="9" r:id="rId9"/>
    <sheet name="Invest Percentage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4" l="1"/>
  <c r="G34" i="1"/>
  <c r="F20" i="4"/>
  <c r="F25" i="4"/>
  <c r="E31" i="1"/>
  <c r="I46" i="8"/>
  <c r="H46" i="8"/>
  <c r="D46" i="8"/>
  <c r="F46" i="8"/>
  <c r="E46" i="8"/>
  <c r="G46" i="8"/>
  <c r="G36" i="8"/>
  <c r="G37" i="8"/>
  <c r="G39" i="8"/>
  <c r="G40" i="8"/>
  <c r="G23" i="8"/>
  <c r="G24" i="8"/>
  <c r="G26" i="8"/>
  <c r="I30" i="8"/>
  <c r="F30" i="8"/>
  <c r="E30" i="8"/>
  <c r="D30" i="8"/>
  <c r="H30" i="8"/>
  <c r="I23" i="7"/>
  <c r="H23" i="7"/>
  <c r="E13" i="9"/>
  <c r="C13" i="9"/>
  <c r="E17" i="8"/>
  <c r="G23" i="7"/>
  <c r="E13" i="7"/>
  <c r="F13" i="7"/>
  <c r="G13" i="7"/>
  <c r="H13" i="7"/>
  <c r="I13" i="7"/>
  <c r="E14" i="7"/>
  <c r="F14" i="7"/>
  <c r="G14" i="7"/>
  <c r="H14" i="7"/>
  <c r="I14" i="7"/>
  <c r="E15" i="7"/>
  <c r="F15" i="7"/>
  <c r="G15" i="7"/>
  <c r="H15" i="7"/>
  <c r="I15" i="7"/>
  <c r="D15" i="7"/>
  <c r="D16" i="7" s="1"/>
  <c r="D14" i="7"/>
  <c r="D13" i="7"/>
  <c r="C19" i="2"/>
  <c r="D19" i="2"/>
  <c r="E19" i="2"/>
  <c r="F19" i="2"/>
  <c r="E17" i="2"/>
  <c r="D17" i="2"/>
  <c r="C17" i="2"/>
  <c r="H10" i="6"/>
  <c r="G10" i="6"/>
  <c r="E10" i="6"/>
  <c r="D10" i="6"/>
  <c r="C10" i="6"/>
  <c r="C9" i="6"/>
  <c r="C8" i="6"/>
  <c r="C18" i="5"/>
  <c r="C17" i="5"/>
  <c r="C16" i="5"/>
  <c r="C15" i="5"/>
  <c r="C14" i="5"/>
  <c r="C13" i="5"/>
  <c r="C12" i="5"/>
  <c r="C19" i="5" s="1"/>
  <c r="CA18" i="10"/>
  <c r="BZ18" i="10"/>
  <c r="BY18" i="10"/>
  <c r="BX18" i="10"/>
  <c r="BW18" i="10"/>
  <c r="BV18" i="10"/>
  <c r="BU18" i="10"/>
  <c r="BT18" i="10"/>
  <c r="BS18" i="10"/>
  <c r="BR18" i="10"/>
  <c r="BQ18" i="10"/>
  <c r="BP18" i="10"/>
  <c r="CA17" i="10"/>
  <c r="BZ17" i="10"/>
  <c r="BY17" i="10"/>
  <c r="BX17" i="10"/>
  <c r="BW17" i="10"/>
  <c r="BV17" i="10"/>
  <c r="BU17" i="10"/>
  <c r="BT17" i="10"/>
  <c r="BS17" i="10"/>
  <c r="BR17" i="10"/>
  <c r="BQ17" i="10"/>
  <c r="BP17" i="10"/>
  <c r="CA16" i="10"/>
  <c r="BZ16" i="10"/>
  <c r="BY16" i="10"/>
  <c r="BX16" i="10"/>
  <c r="BW16" i="10"/>
  <c r="BV16" i="10"/>
  <c r="BU16" i="10"/>
  <c r="BT16" i="10"/>
  <c r="BS16" i="10"/>
  <c r="BR16" i="10"/>
  <c r="BQ16" i="10"/>
  <c r="BP16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CA14" i="10"/>
  <c r="BZ14" i="10"/>
  <c r="BY14" i="10"/>
  <c r="BX14" i="10"/>
  <c r="BW14" i="10"/>
  <c r="BV14" i="10"/>
  <c r="BU14" i="10"/>
  <c r="BT14" i="10"/>
  <c r="BS14" i="10"/>
  <c r="BR14" i="10"/>
  <c r="BQ14" i="10"/>
  <c r="BP14" i="10"/>
  <c r="CA13" i="10"/>
  <c r="BZ13" i="10"/>
  <c r="BZ19" i="10" s="1"/>
  <c r="BY13" i="10"/>
  <c r="BX13" i="10"/>
  <c r="BX19" i="10" s="1"/>
  <c r="BW13" i="10"/>
  <c r="BV13" i="10"/>
  <c r="BU13" i="10"/>
  <c r="BT13" i="10"/>
  <c r="BS13" i="10"/>
  <c r="BR13" i="10"/>
  <c r="BR19" i="10" s="1"/>
  <c r="BQ13" i="10"/>
  <c r="BP13" i="10"/>
  <c r="BP19" i="10" s="1"/>
  <c r="CA12" i="10"/>
  <c r="BZ12" i="10"/>
  <c r="BY12" i="10"/>
  <c r="BX12" i="10"/>
  <c r="BW12" i="10"/>
  <c r="BV12" i="10"/>
  <c r="BV19" i="10" s="1"/>
  <c r="BU12" i="10"/>
  <c r="BT12" i="10"/>
  <c r="BT19" i="10" s="1"/>
  <c r="BS12" i="10"/>
  <c r="BR12" i="10"/>
  <c r="BQ12" i="10"/>
  <c r="BP12" i="10"/>
  <c r="BY19" i="10"/>
  <c r="BQ19" i="10"/>
  <c r="CA19" i="10"/>
  <c r="BW19" i="10"/>
  <c r="BU19" i="10"/>
  <c r="BS19" i="10"/>
  <c r="BN18" i="10"/>
  <c r="BM18" i="10"/>
  <c r="BL18" i="10"/>
  <c r="BK18" i="10"/>
  <c r="BJ18" i="10"/>
  <c r="BI18" i="10"/>
  <c r="BH18" i="10"/>
  <c r="BG18" i="10"/>
  <c r="BF18" i="10"/>
  <c r="BE18" i="10"/>
  <c r="BD18" i="10"/>
  <c r="BC18" i="10"/>
  <c r="BN17" i="10"/>
  <c r="BM17" i="10"/>
  <c r="BL17" i="10"/>
  <c r="BK17" i="10"/>
  <c r="BJ17" i="10"/>
  <c r="BI17" i="10"/>
  <c r="BH17" i="10"/>
  <c r="BG17" i="10"/>
  <c r="BF17" i="10"/>
  <c r="BE17" i="10"/>
  <c r="BD17" i="10"/>
  <c r="BC17" i="10"/>
  <c r="BN16" i="10"/>
  <c r="BM16" i="10"/>
  <c r="BL16" i="10"/>
  <c r="BK16" i="10"/>
  <c r="BJ16" i="10"/>
  <c r="BI16" i="10"/>
  <c r="BH16" i="10"/>
  <c r="BG16" i="10"/>
  <c r="BF16" i="10"/>
  <c r="BE16" i="10"/>
  <c r="BD16" i="10"/>
  <c r="BC16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N13" i="10"/>
  <c r="BM13" i="10"/>
  <c r="BL13" i="10"/>
  <c r="BK13" i="10"/>
  <c r="BK19" i="10" s="1"/>
  <c r="BJ13" i="10"/>
  <c r="BI13" i="10"/>
  <c r="BH13" i="10"/>
  <c r="BG13" i="10"/>
  <c r="BF13" i="10"/>
  <c r="BE13" i="10"/>
  <c r="BD13" i="10"/>
  <c r="BC13" i="10"/>
  <c r="BC19" i="10" s="1"/>
  <c r="BN12" i="10"/>
  <c r="BN19" i="10" s="1"/>
  <c r="BM12" i="10"/>
  <c r="BL12" i="10"/>
  <c r="BL19" i="10" s="1"/>
  <c r="BK12" i="10"/>
  <c r="BJ12" i="10"/>
  <c r="BJ19" i="10" s="1"/>
  <c r="BI12" i="10"/>
  <c r="BH12" i="10"/>
  <c r="BG12" i="10"/>
  <c r="BF12" i="10"/>
  <c r="BF19" i="10" s="1"/>
  <c r="BE12" i="10"/>
  <c r="BD12" i="10"/>
  <c r="BC12" i="10"/>
  <c r="BM19" i="10"/>
  <c r="BH19" i="10"/>
  <c r="BE19" i="10"/>
  <c r="BI19" i="10"/>
  <c r="BG19" i="10"/>
  <c r="BD19" i="10"/>
  <c r="BA18" i="10"/>
  <c r="AZ18" i="10"/>
  <c r="AY18" i="10"/>
  <c r="AX18" i="10"/>
  <c r="AW18" i="10"/>
  <c r="AV18" i="10"/>
  <c r="AU18" i="10"/>
  <c r="AT18" i="10"/>
  <c r="AS18" i="10"/>
  <c r="AR18" i="10"/>
  <c r="AQ18" i="10"/>
  <c r="AP18" i="10"/>
  <c r="BA17" i="10"/>
  <c r="AZ17" i="10"/>
  <c r="AY17" i="10"/>
  <c r="AX17" i="10"/>
  <c r="AW17" i="10"/>
  <c r="AV17" i="10"/>
  <c r="AU17" i="10"/>
  <c r="AT17" i="10"/>
  <c r="AS17" i="10"/>
  <c r="AR17" i="10"/>
  <c r="AQ17" i="10"/>
  <c r="AP17" i="10"/>
  <c r="BA16" i="10"/>
  <c r="AZ16" i="10"/>
  <c r="AY16" i="10"/>
  <c r="AX16" i="10"/>
  <c r="AW16" i="10"/>
  <c r="AV16" i="10"/>
  <c r="AU16" i="10"/>
  <c r="AT16" i="10"/>
  <c r="AS16" i="10"/>
  <c r="AR16" i="10"/>
  <c r="AQ16" i="10"/>
  <c r="AP16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BA13" i="10"/>
  <c r="AZ13" i="10"/>
  <c r="AY13" i="10"/>
  <c r="AY19" i="10" s="1"/>
  <c r="AX13" i="10"/>
  <c r="AW13" i="10"/>
  <c r="AV13" i="10"/>
  <c r="AU13" i="10"/>
  <c r="AT13" i="10"/>
  <c r="AS13" i="10"/>
  <c r="AR13" i="10"/>
  <c r="AQ13" i="10"/>
  <c r="AQ19" i="10" s="1"/>
  <c r="AP13" i="10"/>
  <c r="AP19" i="10" s="1"/>
  <c r="BA12" i="10"/>
  <c r="AZ12" i="10"/>
  <c r="AY12" i="10"/>
  <c r="AX12" i="10"/>
  <c r="AX19" i="10" s="1"/>
  <c r="AW12" i="10"/>
  <c r="AV12" i="10"/>
  <c r="AU12" i="10"/>
  <c r="AU19" i="10" s="1"/>
  <c r="AT12" i="10"/>
  <c r="AT19" i="10" s="1"/>
  <c r="AS12" i="10"/>
  <c r="AS19" i="10" s="1"/>
  <c r="AR12" i="10"/>
  <c r="AQ12" i="10"/>
  <c r="AP12" i="10"/>
  <c r="BA19" i="10"/>
  <c r="AZ19" i="10"/>
  <c r="AR19" i="10"/>
  <c r="AW19" i="10"/>
  <c r="AV19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N13" i="10"/>
  <c r="AM13" i="10"/>
  <c r="AL13" i="10"/>
  <c r="AK13" i="10"/>
  <c r="AK19" i="10" s="1"/>
  <c r="AJ13" i="10"/>
  <c r="AI13" i="10"/>
  <c r="AH13" i="10"/>
  <c r="AG13" i="10"/>
  <c r="AF13" i="10"/>
  <c r="AE13" i="10"/>
  <c r="AD13" i="10"/>
  <c r="AC13" i="10"/>
  <c r="AC19" i="10" s="1"/>
  <c r="AN12" i="10"/>
  <c r="AN19" i="10" s="1"/>
  <c r="AM12" i="10"/>
  <c r="AL12" i="10"/>
  <c r="AL19" i="10" s="1"/>
  <c r="AK12" i="10"/>
  <c r="AJ12" i="10"/>
  <c r="AI12" i="10"/>
  <c r="AH12" i="10"/>
  <c r="AH19" i="10" s="1"/>
  <c r="AG12" i="10"/>
  <c r="AG19" i="10" s="1"/>
  <c r="AF12" i="10"/>
  <c r="AE12" i="10"/>
  <c r="AD12" i="10"/>
  <c r="AC12" i="10"/>
  <c r="AJ19" i="10"/>
  <c r="AM19" i="10"/>
  <c r="AI19" i="10"/>
  <c r="AF19" i="10"/>
  <c r="AE19" i="10"/>
  <c r="AD19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AA17" i="10"/>
  <c r="Z17" i="10"/>
  <c r="Y17" i="10"/>
  <c r="X17" i="10"/>
  <c r="W17" i="10"/>
  <c r="V17" i="10"/>
  <c r="U17" i="10"/>
  <c r="T17" i="10"/>
  <c r="S17" i="10"/>
  <c r="R17" i="10"/>
  <c r="R19" i="10" s="1"/>
  <c r="Q17" i="10"/>
  <c r="P17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AA13" i="10"/>
  <c r="Z13" i="10"/>
  <c r="Y13" i="10"/>
  <c r="X13" i="10"/>
  <c r="W13" i="10"/>
  <c r="V13" i="10"/>
  <c r="U13" i="10"/>
  <c r="T13" i="10"/>
  <c r="S13" i="10"/>
  <c r="R13" i="10"/>
  <c r="Q13" i="10"/>
  <c r="Q19" i="10" s="1"/>
  <c r="P13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C19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3" i="10"/>
  <c r="N13" i="10" s="1"/>
  <c r="O14" i="10"/>
  <c r="O15" i="10"/>
  <c r="O16" i="10"/>
  <c r="O17" i="10"/>
  <c r="O18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AB13" i="10"/>
  <c r="AB14" i="10"/>
  <c r="AB15" i="10"/>
  <c r="AB16" i="10"/>
  <c r="AB17" i="10"/>
  <c r="AB18" i="10"/>
  <c r="AO13" i="10"/>
  <c r="AO14" i="10"/>
  <c r="AO15" i="10"/>
  <c r="AO16" i="10"/>
  <c r="AO17" i="10"/>
  <c r="AO18" i="10"/>
  <c r="BB13" i="10"/>
  <c r="BB14" i="10"/>
  <c r="BB15" i="10"/>
  <c r="BB16" i="10"/>
  <c r="BB17" i="10"/>
  <c r="BB18" i="10"/>
  <c r="BO15" i="10"/>
  <c r="BO19" i="10" s="1"/>
  <c r="BO16" i="10"/>
  <c r="BO17" i="10"/>
  <c r="BO18" i="10"/>
  <c r="BO14" i="10"/>
  <c r="BO13" i="10"/>
  <c r="BO12" i="10"/>
  <c r="BB12" i="10"/>
  <c r="AO12" i="10"/>
  <c r="AB12" i="10"/>
  <c r="O12" i="10"/>
  <c r="P19" i="10"/>
  <c r="D25" i="4"/>
  <c r="E20" i="4"/>
  <c r="D20" i="4"/>
  <c r="D24" i="4"/>
  <c r="D19" i="4"/>
  <c r="D14" i="4"/>
  <c r="D10" i="4"/>
  <c r="D9" i="4"/>
  <c r="D8" i="4"/>
  <c r="C11" i="2"/>
  <c r="C12" i="2"/>
  <c r="C13" i="2"/>
  <c r="C14" i="2"/>
  <c r="C9" i="2"/>
  <c r="D9" i="2"/>
  <c r="E9" i="2"/>
  <c r="D11" i="3"/>
  <c r="E11" i="3"/>
  <c r="C11" i="3"/>
  <c r="H10" i="3"/>
  <c r="C10" i="3"/>
  <c r="C43" i="3"/>
  <c r="C42" i="3"/>
  <c r="C39" i="3"/>
  <c r="C38" i="3"/>
  <c r="C37" i="3"/>
  <c r="C36" i="3"/>
  <c r="C35" i="3"/>
  <c r="C34" i="3"/>
  <c r="C33" i="3"/>
  <c r="C40" i="3" s="1"/>
  <c r="C29" i="3"/>
  <c r="C27" i="3"/>
  <c r="C25" i="3"/>
  <c r="C23" i="3"/>
  <c r="C22" i="3"/>
  <c r="C21" i="3"/>
  <c r="C20" i="3"/>
  <c r="C13" i="3"/>
  <c r="C12" i="3"/>
  <c r="C9" i="3"/>
  <c r="C8" i="3"/>
  <c r="C7" i="3"/>
  <c r="G19" i="2"/>
  <c r="D91" i="1"/>
  <c r="I89" i="1"/>
  <c r="H89" i="1"/>
  <c r="G89" i="1"/>
  <c r="F89" i="1"/>
  <c r="E89" i="1"/>
  <c r="D89" i="1"/>
  <c r="D92" i="1"/>
  <c r="D87" i="1"/>
  <c r="D80" i="1"/>
  <c r="D75" i="1"/>
  <c r="E74" i="1"/>
  <c r="D74" i="1"/>
  <c r="D73" i="1"/>
  <c r="H74" i="1"/>
  <c r="G74" i="1"/>
  <c r="F74" i="1"/>
  <c r="H73" i="1"/>
  <c r="G73" i="1"/>
  <c r="F73" i="1"/>
  <c r="E73" i="1"/>
  <c r="E72" i="1"/>
  <c r="D72" i="1"/>
  <c r="D69" i="1"/>
  <c r="D70" i="1"/>
  <c r="D71" i="1"/>
  <c r="H71" i="1"/>
  <c r="G71" i="1"/>
  <c r="F71" i="1"/>
  <c r="E71" i="1"/>
  <c r="F70" i="1"/>
  <c r="E70" i="1"/>
  <c r="I34" i="1"/>
  <c r="F34" i="1"/>
  <c r="E34" i="1"/>
  <c r="D35" i="1"/>
  <c r="E24" i="1"/>
  <c r="E102" i="1"/>
  <c r="E103" i="1" s="1"/>
  <c r="F102" i="1"/>
  <c r="G102" i="1"/>
  <c r="H102" i="1"/>
  <c r="I102" i="1"/>
  <c r="D102" i="1"/>
  <c r="D103" i="1" s="1"/>
  <c r="D99" i="1"/>
  <c r="D98" i="1"/>
  <c r="G13" i="9"/>
  <c r="G5" i="8"/>
  <c r="G4" i="8"/>
  <c r="G17" i="8" s="1"/>
  <c r="H8" i="8"/>
  <c r="H9" i="8"/>
  <c r="H10" i="8"/>
  <c r="H11" i="8"/>
  <c r="H12" i="8"/>
  <c r="H13" i="8"/>
  <c r="H14" i="8"/>
  <c r="H15" i="8"/>
  <c r="H16" i="8"/>
  <c r="D17" i="8"/>
  <c r="F17" i="8"/>
  <c r="I17" i="8"/>
  <c r="H72" i="1"/>
  <c r="I72" i="1"/>
  <c r="G72" i="1"/>
  <c r="F72" i="1"/>
  <c r="I71" i="1"/>
  <c r="I73" i="1"/>
  <c r="I74" i="1"/>
  <c r="D39" i="1" l="1"/>
  <c r="D42" i="1" s="1"/>
  <c r="C14" i="3" s="1"/>
  <c r="D37" i="1"/>
  <c r="G30" i="8"/>
  <c r="M13" i="10"/>
  <c r="D13" i="10"/>
  <c r="C13" i="10"/>
  <c r="I13" i="10"/>
  <c r="J13" i="10"/>
  <c r="H13" i="10"/>
  <c r="K13" i="10"/>
  <c r="G13" i="10"/>
  <c r="L13" i="10"/>
  <c r="F13" i="10"/>
  <c r="E13" i="10"/>
  <c r="F103" i="1"/>
  <c r="G103" i="1" s="1"/>
  <c r="H103" i="1" s="1"/>
  <c r="I103" i="1" s="1"/>
  <c r="E35" i="1"/>
  <c r="H17" i="8"/>
  <c r="C15" i="3" l="1"/>
  <c r="D11" i="4"/>
  <c r="D15" i="4" s="1"/>
  <c r="D28" i="4" s="1"/>
  <c r="F35" i="1"/>
  <c r="E37" i="1"/>
  <c r="E39" i="1"/>
  <c r="E42" i="1" s="1"/>
  <c r="C62" i="1"/>
  <c r="C24" i="4" s="1"/>
  <c r="C56" i="1"/>
  <c r="C19" i="4" s="1"/>
  <c r="E23" i="10"/>
  <c r="D23" i="10"/>
  <c r="C23" i="10"/>
  <c r="C21" i="10"/>
  <c r="C22" i="10" s="1"/>
  <c r="E19" i="10"/>
  <c r="E21" i="10" s="1"/>
  <c r="D19" i="10"/>
  <c r="D21" i="10" s="1"/>
  <c r="G70" i="1"/>
  <c r="H70" i="1" s="1"/>
  <c r="I70" i="1" s="1"/>
  <c r="G10" i="9"/>
  <c r="E10" i="9"/>
  <c r="C10" i="9"/>
  <c r="I16" i="7"/>
  <c r="E16" i="7"/>
  <c r="F16" i="7"/>
  <c r="F11" i="7" s="1"/>
  <c r="G16" i="7"/>
  <c r="G11" i="7" s="1"/>
  <c r="H16" i="7"/>
  <c r="H11" i="7" s="1"/>
  <c r="D11" i="7"/>
  <c r="H19" i="2"/>
  <c r="F98" i="1"/>
  <c r="G98" i="1"/>
  <c r="H98" i="1"/>
  <c r="I98" i="1"/>
  <c r="E35" i="3"/>
  <c r="F35" i="3"/>
  <c r="G35" i="3"/>
  <c r="H35" i="3"/>
  <c r="CB14" i="10" s="1"/>
  <c r="E36" i="3"/>
  <c r="F36" i="3"/>
  <c r="G36" i="3"/>
  <c r="H36" i="3"/>
  <c r="CB15" i="10" s="1"/>
  <c r="E37" i="3"/>
  <c r="F37" i="3"/>
  <c r="G37" i="3"/>
  <c r="H37" i="3"/>
  <c r="CB16" i="10" s="1"/>
  <c r="E38" i="3"/>
  <c r="F38" i="3"/>
  <c r="G38" i="3"/>
  <c r="H38" i="3"/>
  <c r="CB17" i="10" s="1"/>
  <c r="E39" i="3"/>
  <c r="F39" i="3"/>
  <c r="G39" i="3"/>
  <c r="H39" i="3"/>
  <c r="CB18" i="10" s="1"/>
  <c r="D39" i="3"/>
  <c r="D38" i="3"/>
  <c r="D37" i="3"/>
  <c r="D36" i="3"/>
  <c r="D35" i="3"/>
  <c r="D21" i="3"/>
  <c r="E21" i="3"/>
  <c r="F21" i="3"/>
  <c r="G21" i="3"/>
  <c r="H21" i="3"/>
  <c r="D22" i="3"/>
  <c r="E22" i="3"/>
  <c r="F22" i="3"/>
  <c r="G22" i="3"/>
  <c r="H22" i="3"/>
  <c r="D23" i="3"/>
  <c r="E20" i="3"/>
  <c r="F20" i="3"/>
  <c r="G20" i="3"/>
  <c r="H20" i="3"/>
  <c r="D20" i="3"/>
  <c r="E13" i="3"/>
  <c r="F10" i="4" s="1"/>
  <c r="F13" i="3"/>
  <c r="G10" i="4" s="1"/>
  <c r="G13" i="3"/>
  <c r="H10" i="4" s="1"/>
  <c r="H13" i="3"/>
  <c r="I10" i="4" s="1"/>
  <c r="D13" i="3"/>
  <c r="E10" i="4" s="1"/>
  <c r="E12" i="3"/>
  <c r="F12" i="3"/>
  <c r="G12" i="3"/>
  <c r="H12" i="3"/>
  <c r="D12" i="3"/>
  <c r="E9" i="3"/>
  <c r="F9" i="3"/>
  <c r="G9" i="3"/>
  <c r="H9" i="3"/>
  <c r="D9" i="3"/>
  <c r="E98" i="1"/>
  <c r="E99" i="1" s="1"/>
  <c r="F56" i="1"/>
  <c r="E25" i="3" s="1"/>
  <c r="H50" i="1"/>
  <c r="G23" i="3" s="1"/>
  <c r="I50" i="1"/>
  <c r="G50" i="1"/>
  <c r="F50" i="1"/>
  <c r="C10" i="2" l="1"/>
  <c r="C9" i="5"/>
  <c r="O9" i="10"/>
  <c r="O23" i="10" s="1"/>
  <c r="I11" i="7"/>
  <c r="E11" i="7"/>
  <c r="D17" i="7"/>
  <c r="E17" i="7" s="1"/>
  <c r="F17" i="7" s="1"/>
  <c r="G17" i="7" s="1"/>
  <c r="D22" i="10"/>
  <c r="E22" i="10" s="1"/>
  <c r="AA19" i="10"/>
  <c r="F99" i="1"/>
  <c r="G99" i="1" s="1"/>
  <c r="H99" i="1" s="1"/>
  <c r="I99" i="1" s="1"/>
  <c r="H23" i="3"/>
  <c r="I14" i="4" s="1"/>
  <c r="E23" i="3"/>
  <c r="F23" i="3"/>
  <c r="G14" i="4" s="1"/>
  <c r="E75" i="1"/>
  <c r="D34" i="3" s="1"/>
  <c r="E18" i="1"/>
  <c r="E19" i="1" s="1"/>
  <c r="E20" i="1" s="1"/>
  <c r="E11" i="1"/>
  <c r="E12" i="1" s="1"/>
  <c r="E13" i="1" s="1"/>
  <c r="H9" i="6"/>
  <c r="G9" i="6"/>
  <c r="E9" i="6"/>
  <c r="D9" i="6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15" i="5"/>
  <c r="G15" i="5"/>
  <c r="F15" i="5"/>
  <c r="E15" i="5"/>
  <c r="D15" i="5"/>
  <c r="H14" i="5"/>
  <c r="G14" i="5"/>
  <c r="F14" i="5"/>
  <c r="E14" i="5"/>
  <c r="D14" i="5"/>
  <c r="F19" i="4"/>
  <c r="H14" i="4"/>
  <c r="F14" i="4"/>
  <c r="E14" i="4"/>
  <c r="I9" i="4"/>
  <c r="H9" i="4"/>
  <c r="G9" i="4"/>
  <c r="F9" i="4"/>
  <c r="E9" i="4"/>
  <c r="I87" i="1"/>
  <c r="H87" i="1"/>
  <c r="G87" i="1"/>
  <c r="F87" i="1"/>
  <c r="E87" i="1"/>
  <c r="I80" i="1"/>
  <c r="H33" i="3" s="1"/>
  <c r="H80" i="1"/>
  <c r="G33" i="3" s="1"/>
  <c r="G80" i="1"/>
  <c r="F33" i="3" s="1"/>
  <c r="F80" i="1"/>
  <c r="E33" i="3" s="1"/>
  <c r="E80" i="1"/>
  <c r="D33" i="3" s="1"/>
  <c r="I75" i="1"/>
  <c r="H34" i="3" s="1"/>
  <c r="H75" i="1"/>
  <c r="G34" i="3" s="1"/>
  <c r="G75" i="1"/>
  <c r="F34" i="3" s="1"/>
  <c r="F75" i="1"/>
  <c r="E34" i="3" s="1"/>
  <c r="I62" i="1"/>
  <c r="H27" i="3" s="1"/>
  <c r="I24" i="4" s="1"/>
  <c r="H62" i="1"/>
  <c r="G27" i="3" s="1"/>
  <c r="H24" i="4" s="1"/>
  <c r="G62" i="1"/>
  <c r="F27" i="3" s="1"/>
  <c r="G24" i="4" s="1"/>
  <c r="F62" i="1"/>
  <c r="E27" i="3" s="1"/>
  <c r="F24" i="4" s="1"/>
  <c r="E62" i="1"/>
  <c r="D27" i="3" s="1"/>
  <c r="E24" i="4" s="1"/>
  <c r="I56" i="1"/>
  <c r="H25" i="3" s="1"/>
  <c r="I19" i="4" s="1"/>
  <c r="H56" i="1"/>
  <c r="G25" i="3" s="1"/>
  <c r="H19" i="4" s="1"/>
  <c r="G56" i="1"/>
  <c r="F25" i="3" s="1"/>
  <c r="G19" i="4" s="1"/>
  <c r="E56" i="1"/>
  <c r="D25" i="3" s="1"/>
  <c r="E19" i="4" s="1"/>
  <c r="C21" i="5" l="1"/>
  <c r="C22" i="5"/>
  <c r="C16" i="2" s="1"/>
  <c r="Y19" i="10"/>
  <c r="Z19" i="10"/>
  <c r="T19" i="10"/>
  <c r="X19" i="10"/>
  <c r="V19" i="10"/>
  <c r="U19" i="10"/>
  <c r="W19" i="10"/>
  <c r="F9" i="6"/>
  <c r="E40" i="3"/>
  <c r="S19" i="10"/>
  <c r="H12" i="5"/>
  <c r="CB12" i="10"/>
  <c r="K19" i="10"/>
  <c r="I19" i="10"/>
  <c r="F13" i="5"/>
  <c r="AO19" i="10"/>
  <c r="H19" i="10"/>
  <c r="M19" i="10"/>
  <c r="G19" i="10"/>
  <c r="N19" i="10"/>
  <c r="H13" i="5"/>
  <c r="CB13" i="10"/>
  <c r="E12" i="5"/>
  <c r="L19" i="10"/>
  <c r="J19" i="10"/>
  <c r="G13" i="5"/>
  <c r="BB19" i="10"/>
  <c r="D13" i="5"/>
  <c r="G40" i="3"/>
  <c r="H17" i="7"/>
  <c r="I17" i="7" s="1"/>
  <c r="D40" i="3"/>
  <c r="G12" i="5"/>
  <c r="F40" i="3"/>
  <c r="H40" i="3"/>
  <c r="F12" i="5"/>
  <c r="E13" i="5"/>
  <c r="D12" i="5"/>
  <c r="I35" i="1"/>
  <c r="I39" i="1" s="1"/>
  <c r="C15" i="2" l="1"/>
  <c r="D8" i="7"/>
  <c r="D9" i="7" s="1"/>
  <c r="D19" i="7" s="1"/>
  <c r="D21" i="7" s="1"/>
  <c r="G19" i="5"/>
  <c r="D19" i="5"/>
  <c r="F19" i="10"/>
  <c r="AB19" i="10"/>
  <c r="F19" i="5"/>
  <c r="H19" i="5"/>
  <c r="CB19" i="10"/>
  <c r="O19" i="10"/>
  <c r="E19" i="5"/>
  <c r="H34" i="1"/>
  <c r="I42" i="1"/>
  <c r="I64" i="1" s="1"/>
  <c r="I37" i="1"/>
  <c r="H14" i="3" l="1"/>
  <c r="I11" i="4" s="1"/>
  <c r="I15" i="4" s="1"/>
  <c r="H29" i="3"/>
  <c r="E32" i="1"/>
  <c r="D8" i="3" s="1"/>
  <c r="D7" i="3"/>
  <c r="D8" i="6" s="1"/>
  <c r="I31" i="1"/>
  <c r="H7" i="3" s="1"/>
  <c r="H8" i="6" s="1"/>
  <c r="I32" i="1"/>
  <c r="H8" i="3" s="1"/>
  <c r="H31" i="1"/>
  <c r="G7" i="3" s="1"/>
  <c r="G8" i="6" s="1"/>
  <c r="H32" i="1"/>
  <c r="G8" i="3" s="1"/>
  <c r="G32" i="1"/>
  <c r="F8" i="3" s="1"/>
  <c r="G31" i="1"/>
  <c r="F7" i="3" s="1"/>
  <c r="F8" i="6" s="1"/>
  <c r="F10" i="6" s="1"/>
  <c r="F17" i="2" s="1"/>
  <c r="F32" i="1"/>
  <c r="E8" i="3" s="1"/>
  <c r="F31" i="1"/>
  <c r="E7" i="3" s="1"/>
  <c r="E8" i="6" s="1"/>
  <c r="I91" i="1" l="1"/>
  <c r="H42" i="3" s="1"/>
  <c r="H17" i="2"/>
  <c r="E10" i="3"/>
  <c r="D10" i="3"/>
  <c r="F10" i="3"/>
  <c r="G10" i="3"/>
  <c r="H12" i="2"/>
  <c r="E64" i="1"/>
  <c r="E91" i="1" s="1"/>
  <c r="E92" i="1" s="1"/>
  <c r="G17" i="2" l="1"/>
  <c r="D43" i="3"/>
  <c r="D14" i="3"/>
  <c r="D15" i="3" s="1"/>
  <c r="D10" i="2" s="1"/>
  <c r="D29" i="3"/>
  <c r="E8" i="4"/>
  <c r="G35" i="1"/>
  <c r="F37" i="1"/>
  <c r="F39" i="1"/>
  <c r="F42" i="1" s="1"/>
  <c r="F64" i="1" s="1"/>
  <c r="E25" i="4" l="1"/>
  <c r="D14" i="2" s="1"/>
  <c r="D13" i="2"/>
  <c r="E11" i="4"/>
  <c r="E15" i="4" s="1"/>
  <c r="D12" i="2" s="1"/>
  <c r="D42" i="3"/>
  <c r="F11" i="3"/>
  <c r="F9" i="2" s="1"/>
  <c r="F8" i="4"/>
  <c r="E14" i="3"/>
  <c r="F11" i="4" s="1"/>
  <c r="F15" i="4" s="1"/>
  <c r="E12" i="2" s="1"/>
  <c r="E29" i="3"/>
  <c r="H35" i="1"/>
  <c r="G39" i="1"/>
  <c r="G42" i="1" s="1"/>
  <c r="G64" i="1" s="1"/>
  <c r="G37" i="1"/>
  <c r="E13" i="2" l="1"/>
  <c r="E14" i="2"/>
  <c r="E15" i="3"/>
  <c r="E10" i="2" s="1"/>
  <c r="F91" i="1"/>
  <c r="E28" i="4"/>
  <c r="AB9" i="10" s="1"/>
  <c r="F14" i="3"/>
  <c r="G11" i="4" s="1"/>
  <c r="G15" i="4" s="1"/>
  <c r="F12" i="2" s="1"/>
  <c r="F29" i="3"/>
  <c r="G11" i="3"/>
  <c r="G9" i="2" s="1"/>
  <c r="G8" i="4"/>
  <c r="H39" i="1"/>
  <c r="H42" i="1" s="1"/>
  <c r="H64" i="1" s="1"/>
  <c r="H37" i="1"/>
  <c r="AB21" i="10" l="1"/>
  <c r="P9" i="10"/>
  <c r="Q9" i="10"/>
  <c r="Q21" i="10" s="1"/>
  <c r="Q23" i="10" s="1"/>
  <c r="R9" i="10"/>
  <c r="R21" i="10" s="1"/>
  <c r="R23" i="10" s="1"/>
  <c r="S9" i="10"/>
  <c r="T9" i="10"/>
  <c r="T21" i="10" s="1"/>
  <c r="T23" i="10" s="1"/>
  <c r="U9" i="10"/>
  <c r="U21" i="10" s="1"/>
  <c r="U23" i="10" s="1"/>
  <c r="V9" i="10"/>
  <c r="V21" i="10" s="1"/>
  <c r="V23" i="10" s="1"/>
  <c r="W9" i="10"/>
  <c r="W21" i="10" s="1"/>
  <c r="W23" i="10" s="1"/>
  <c r="X9" i="10"/>
  <c r="X21" i="10" s="1"/>
  <c r="X23" i="10" s="1"/>
  <c r="Y9" i="10"/>
  <c r="Y21" i="10" s="1"/>
  <c r="Y23" i="10" s="1"/>
  <c r="Z9" i="10"/>
  <c r="Z21" i="10" s="1"/>
  <c r="Z23" i="10" s="1"/>
  <c r="AA9" i="10"/>
  <c r="AA21" i="10" s="1"/>
  <c r="AA23" i="10" s="1"/>
  <c r="D11" i="2"/>
  <c r="G20" i="4"/>
  <c r="F13" i="2" s="1"/>
  <c r="G25" i="4"/>
  <c r="F14" i="2" s="1"/>
  <c r="F15" i="3"/>
  <c r="F10" i="2" s="1"/>
  <c r="D9" i="5"/>
  <c r="G14" i="3"/>
  <c r="H11" i="4" s="1"/>
  <c r="H15" i="4" s="1"/>
  <c r="G29" i="3"/>
  <c r="G91" i="1"/>
  <c r="F42" i="3" s="1"/>
  <c r="H8" i="4"/>
  <c r="H11" i="3"/>
  <c r="H9" i="2" s="1"/>
  <c r="F92" i="1"/>
  <c r="E43" i="3" s="1"/>
  <c r="E42" i="3"/>
  <c r="F28" i="4"/>
  <c r="AO9" i="10" s="1"/>
  <c r="P21" i="10" l="1"/>
  <c r="S21" i="10"/>
  <c r="S23" i="10" s="1"/>
  <c r="D21" i="5"/>
  <c r="AC9" i="10"/>
  <c r="AD9" i="10"/>
  <c r="AD21" i="10" s="1"/>
  <c r="AD23" i="10" s="1"/>
  <c r="AE9" i="10"/>
  <c r="AE21" i="10" s="1"/>
  <c r="AE23" i="10" s="1"/>
  <c r="AF9" i="10"/>
  <c r="AF21" i="10" s="1"/>
  <c r="AF23" i="10" s="1"/>
  <c r="AG9" i="10"/>
  <c r="AG21" i="10" s="1"/>
  <c r="AG23" i="10" s="1"/>
  <c r="AH9" i="10"/>
  <c r="AH21" i="10" s="1"/>
  <c r="AH23" i="10" s="1"/>
  <c r="AI9" i="10"/>
  <c r="AJ9" i="10"/>
  <c r="AK9" i="10"/>
  <c r="AL9" i="10"/>
  <c r="AM9" i="10"/>
  <c r="AM21" i="10" s="1"/>
  <c r="AM23" i="10" s="1"/>
  <c r="AN9" i="10"/>
  <c r="AN21" i="10" s="1"/>
  <c r="AN23" i="10" s="1"/>
  <c r="AO21" i="10"/>
  <c r="F21" i="10"/>
  <c r="F22" i="10" s="1"/>
  <c r="J21" i="10"/>
  <c r="J23" i="10" s="1"/>
  <c r="AB23" i="10"/>
  <c r="E11" i="2"/>
  <c r="I21" i="10"/>
  <c r="I23" i="10" s="1"/>
  <c r="O21" i="10"/>
  <c r="N21" i="10"/>
  <c r="N23" i="10" s="1"/>
  <c r="H20" i="4"/>
  <c r="M21" i="10"/>
  <c r="M23" i="10" s="1"/>
  <c r="H21" i="10"/>
  <c r="H23" i="10" s="1"/>
  <c r="L21" i="10"/>
  <c r="L23" i="10" s="1"/>
  <c r="K21" i="10"/>
  <c r="K23" i="10" s="1"/>
  <c r="G21" i="10"/>
  <c r="G23" i="10" s="1"/>
  <c r="G92" i="1"/>
  <c r="F43" i="3" s="1"/>
  <c r="G15" i="3"/>
  <c r="G10" i="2" s="1"/>
  <c r="G28" i="4"/>
  <c r="BB9" i="10" s="1"/>
  <c r="E9" i="5"/>
  <c r="I8" i="4"/>
  <c r="H91" i="1"/>
  <c r="G42" i="3" s="1"/>
  <c r="AC21" i="10" l="1"/>
  <c r="AI21" i="10"/>
  <c r="AI23" i="10"/>
  <c r="AJ21" i="10"/>
  <c r="AJ23" i="10"/>
  <c r="AK21" i="10"/>
  <c r="AK23" i="10" s="1"/>
  <c r="AL21" i="10"/>
  <c r="AL23" i="10" s="1"/>
  <c r="P22" i="10"/>
  <c r="Q22" i="10" s="1"/>
  <c r="R22" i="10" s="1"/>
  <c r="S22" i="10" s="1"/>
  <c r="T22" i="10" s="1"/>
  <c r="U22" i="10" s="1"/>
  <c r="V22" i="10" s="1"/>
  <c r="W22" i="10" s="1"/>
  <c r="X22" i="10" s="1"/>
  <c r="Y22" i="10" s="1"/>
  <c r="Z22" i="10" s="1"/>
  <c r="AA22" i="10" s="1"/>
  <c r="P23" i="10"/>
  <c r="D15" i="2"/>
  <c r="D22" i="5"/>
  <c r="D16" i="2" s="1"/>
  <c r="E21" i="5"/>
  <c r="G13" i="2"/>
  <c r="H28" i="4"/>
  <c r="BO9" i="10" s="1"/>
  <c r="AT9" i="10"/>
  <c r="AT21" i="10" s="1"/>
  <c r="AT23" i="10" s="1"/>
  <c r="BB21" i="10"/>
  <c r="AP9" i="10"/>
  <c r="AQ9" i="10"/>
  <c r="AQ21" i="10" s="1"/>
  <c r="AQ23" i="10" s="1"/>
  <c r="AR9" i="10"/>
  <c r="AR21" i="10" s="1"/>
  <c r="AR23" i="10" s="1"/>
  <c r="AS9" i="10"/>
  <c r="AS21" i="10" s="1"/>
  <c r="AS23" i="10" s="1"/>
  <c r="AU9" i="10"/>
  <c r="AU21" i="10" s="1"/>
  <c r="AU23" i="10" s="1"/>
  <c r="AV9" i="10"/>
  <c r="AV21" i="10" s="1"/>
  <c r="AV23" i="10" s="1"/>
  <c r="AW9" i="10"/>
  <c r="AW21" i="10" s="1"/>
  <c r="AW23" i="10" s="1"/>
  <c r="AX9" i="10"/>
  <c r="AX21" i="10" s="1"/>
  <c r="AX23" i="10" s="1"/>
  <c r="AY9" i="10"/>
  <c r="AY21" i="10" s="1"/>
  <c r="AY23" i="10" s="1"/>
  <c r="AZ9" i="10"/>
  <c r="AZ21" i="10" s="1"/>
  <c r="AZ23" i="10" s="1"/>
  <c r="BA9" i="10"/>
  <c r="BA21" i="10" s="1"/>
  <c r="BA23" i="10" s="1"/>
  <c r="AO23" i="10"/>
  <c r="F11" i="2"/>
  <c r="G12" i="2"/>
  <c r="G14" i="2"/>
  <c r="I25" i="4"/>
  <c r="H14" i="2" s="1"/>
  <c r="I20" i="4"/>
  <c r="G22" i="10"/>
  <c r="H22" i="10" s="1"/>
  <c r="I22" i="10" s="1"/>
  <c r="J22" i="10" s="1"/>
  <c r="K22" i="10" s="1"/>
  <c r="L22" i="10" s="1"/>
  <c r="M22" i="10" s="1"/>
  <c r="N22" i="10" s="1"/>
  <c r="H15" i="3"/>
  <c r="H10" i="2" s="1"/>
  <c r="F23" i="10"/>
  <c r="H92" i="1"/>
  <c r="G43" i="3" s="1"/>
  <c r="F9" i="5"/>
  <c r="E8" i="7"/>
  <c r="E9" i="7" s="1"/>
  <c r="E19" i="7" s="1"/>
  <c r="AC22" i="10" l="1"/>
  <c r="AD22" i="10" s="1"/>
  <c r="AE22" i="10" s="1"/>
  <c r="AF22" i="10" s="1"/>
  <c r="AG22" i="10" s="1"/>
  <c r="AH22" i="10" s="1"/>
  <c r="AI22" i="10" s="1"/>
  <c r="AJ22" i="10" s="1"/>
  <c r="AK22" i="10" s="1"/>
  <c r="AL22" i="10" s="1"/>
  <c r="AM22" i="10" s="1"/>
  <c r="AN22" i="10" s="1"/>
  <c r="AC23" i="10"/>
  <c r="E22" i="5"/>
  <c r="E16" i="2" s="1"/>
  <c r="E15" i="2"/>
  <c r="F8" i="7"/>
  <c r="F9" i="7" s="1"/>
  <c r="F19" i="7" s="1"/>
  <c r="BO21" i="10"/>
  <c r="BN9" i="10"/>
  <c r="BN21" i="10" s="1"/>
  <c r="BN23" i="10" s="1"/>
  <c r="BM9" i="10"/>
  <c r="BM21" i="10" s="1"/>
  <c r="BM23" i="10" s="1"/>
  <c r="BL9" i="10"/>
  <c r="BL21" i="10" s="1"/>
  <c r="BL23" i="10" s="1"/>
  <c r="BK9" i="10"/>
  <c r="BK21" i="10" s="1"/>
  <c r="BK23" i="10" s="1"/>
  <c r="BJ9" i="10"/>
  <c r="BJ21" i="10" s="1"/>
  <c r="BJ23" i="10" s="1"/>
  <c r="BI9" i="10"/>
  <c r="BI21" i="10" s="1"/>
  <c r="BI23" i="10" s="1"/>
  <c r="BH9" i="10"/>
  <c r="BH21" i="10" s="1"/>
  <c r="BH23" i="10" s="1"/>
  <c r="BG9" i="10"/>
  <c r="BG21" i="10" s="1"/>
  <c r="BG23" i="10" s="1"/>
  <c r="BF9" i="10"/>
  <c r="BF21" i="10" s="1"/>
  <c r="BF23" i="10" s="1"/>
  <c r="BE9" i="10"/>
  <c r="BE21" i="10" s="1"/>
  <c r="BE23" i="10" s="1"/>
  <c r="BD9" i="10"/>
  <c r="BD21" i="10" s="1"/>
  <c r="BD23" i="10" s="1"/>
  <c r="BC9" i="10"/>
  <c r="BO23" i="10"/>
  <c r="AP21" i="10"/>
  <c r="F21" i="5"/>
  <c r="BB23" i="10"/>
  <c r="G11" i="2"/>
  <c r="I92" i="1"/>
  <c r="H43" i="3" s="1"/>
  <c r="D24" i="7"/>
  <c r="G8" i="7"/>
  <c r="G9" i="7" s="1"/>
  <c r="G19" i="7" s="1"/>
  <c r="H13" i="2"/>
  <c r="I28" i="4"/>
  <c r="CB9" i="10" s="1"/>
  <c r="G9" i="5"/>
  <c r="BC21" i="10" l="1"/>
  <c r="AP22" i="10"/>
  <c r="AQ22" i="10" s="1"/>
  <c r="AR22" i="10" s="1"/>
  <c r="AS22" i="10" s="1"/>
  <c r="AT22" i="10" s="1"/>
  <c r="AU22" i="10" s="1"/>
  <c r="AV22" i="10" s="1"/>
  <c r="AW22" i="10" s="1"/>
  <c r="AX22" i="10" s="1"/>
  <c r="AY22" i="10" s="1"/>
  <c r="AZ22" i="10" s="1"/>
  <c r="BA22" i="10" s="1"/>
  <c r="AP23" i="10"/>
  <c r="F15" i="2"/>
  <c r="F22" i="5"/>
  <c r="F16" i="2" s="1"/>
  <c r="CA9" i="10"/>
  <c r="CA21" i="10" s="1"/>
  <c r="CA23" i="10" s="1"/>
  <c r="BZ9" i="10"/>
  <c r="BZ21" i="10" s="1"/>
  <c r="BZ23" i="10" s="1"/>
  <c r="BY9" i="10"/>
  <c r="BY21" i="10" s="1"/>
  <c r="BY23" i="10" s="1"/>
  <c r="BX9" i="10"/>
  <c r="BX21" i="10" s="1"/>
  <c r="BX23" i="10" s="1"/>
  <c r="BW9" i="10"/>
  <c r="BW21" i="10" s="1"/>
  <c r="BW23" i="10" s="1"/>
  <c r="BV9" i="10"/>
  <c r="BV21" i="10" s="1"/>
  <c r="BV23" i="10" s="1"/>
  <c r="BU9" i="10"/>
  <c r="BU21" i="10" s="1"/>
  <c r="BU23" i="10" s="1"/>
  <c r="BT9" i="10"/>
  <c r="BT21" i="10" s="1"/>
  <c r="BT23" i="10" s="1"/>
  <c r="BS9" i="10"/>
  <c r="BS21" i="10" s="1"/>
  <c r="BS23" i="10" s="1"/>
  <c r="BR9" i="10"/>
  <c r="BR21" i="10" s="1"/>
  <c r="BR23" i="10" s="1"/>
  <c r="BQ9" i="10"/>
  <c r="BQ21" i="10" s="1"/>
  <c r="BQ23" i="10" s="1"/>
  <c r="BP9" i="10"/>
  <c r="CB21" i="10"/>
  <c r="CB23" i="10" s="1"/>
  <c r="G21" i="5"/>
  <c r="C21" i="2"/>
  <c r="E20" i="7"/>
  <c r="E21" i="7" s="1"/>
  <c r="E24" i="7" s="1"/>
  <c r="H11" i="2"/>
  <c r="H9" i="5"/>
  <c r="H8" i="7"/>
  <c r="H9" i="7" s="1"/>
  <c r="H19" i="7" s="1"/>
  <c r="BP21" i="10" l="1"/>
  <c r="BP22" i="10" s="1"/>
  <c r="BQ22" i="10" s="1"/>
  <c r="BR22" i="10" s="1"/>
  <c r="BS22" i="10" s="1"/>
  <c r="BT22" i="10" s="1"/>
  <c r="BU22" i="10" s="1"/>
  <c r="BV22" i="10" s="1"/>
  <c r="BW22" i="10" s="1"/>
  <c r="BX22" i="10" s="1"/>
  <c r="BY22" i="10" s="1"/>
  <c r="BZ22" i="10" s="1"/>
  <c r="CA22" i="10" s="1"/>
  <c r="BP23" i="10"/>
  <c r="BC22" i="10"/>
  <c r="BD22" i="10" s="1"/>
  <c r="BE22" i="10" s="1"/>
  <c r="BF22" i="10" s="1"/>
  <c r="BG22" i="10" s="1"/>
  <c r="BH22" i="10" s="1"/>
  <c r="BI22" i="10" s="1"/>
  <c r="BJ22" i="10" s="1"/>
  <c r="BK22" i="10" s="1"/>
  <c r="BL22" i="10" s="1"/>
  <c r="BM22" i="10" s="1"/>
  <c r="BN22" i="10" s="1"/>
  <c r="BC23" i="10"/>
  <c r="G15" i="2"/>
  <c r="G22" i="5"/>
  <c r="G16" i="2" s="1"/>
  <c r="H21" i="5"/>
  <c r="H22" i="5" s="1"/>
  <c r="D21" i="2"/>
  <c r="F20" i="7"/>
  <c r="F21" i="7" s="1"/>
  <c r="F24" i="7" s="1"/>
  <c r="H16" i="2" l="1"/>
  <c r="H15" i="2"/>
  <c r="E21" i="2"/>
  <c r="G20" i="7"/>
  <c r="G21" i="7" s="1"/>
  <c r="I8" i="7"/>
  <c r="I9" i="7" s="1"/>
  <c r="I19" i="7" s="1"/>
  <c r="G24" i="7" l="1"/>
  <c r="G21" i="2"/>
  <c r="F21" i="2"/>
  <c r="H20" i="7"/>
  <c r="H21" i="7" s="1"/>
  <c r="I20" i="7" l="1"/>
  <c r="I21" i="7" s="1"/>
  <c r="I24" i="7" s="1"/>
  <c r="H24" i="7"/>
  <c r="H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D69" authorId="0" shapeId="0" xr:uid="{43BC2579-354E-422A-BF32-1A8784C27C51}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Payment starting in July</t>
        </r>
      </text>
    </comment>
    <comment ref="D70" authorId="0" shapeId="0" xr:uid="{0C89EA77-C045-4343-86C8-6C26D9D7D424}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Starting Partnership in July</t>
        </r>
      </text>
    </comment>
    <comment ref="D71" authorId="0" shapeId="0" xr:uid="{C260FD56-3E1F-4499-ACF4-2C909E46BEC2}">
      <text>
        <r>
          <rPr>
            <b/>
            <sz val="9"/>
            <color indexed="81"/>
            <rFont val="Segoe UI"/>
            <charset val="1"/>
          </rPr>
          <t>USUARIO:</t>
        </r>
        <r>
          <rPr>
            <sz val="9"/>
            <color indexed="81"/>
            <rFont val="Segoe UI"/>
            <charset val="1"/>
          </rPr>
          <t xml:space="preserve">
Starting in July</t>
        </r>
      </text>
    </comment>
    <comment ref="D72" authorId="0" shapeId="0" xr:uid="{9C9A1ACD-688F-427D-A60F-4B7AAA49EEA3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payments start in july</t>
        </r>
      </text>
    </comment>
    <comment ref="D73" authorId="0" shapeId="0" xr:uid="{6D417416-E4F6-4066-A05E-9BE939B21BB4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payments start in july</t>
        </r>
      </text>
    </comment>
    <comment ref="D74" authorId="0" shapeId="0" xr:uid="{CA7FDCA6-4B75-463C-AC89-A467DF23E077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payments start in july</t>
        </r>
      </text>
    </comment>
  </commentList>
</comments>
</file>

<file path=xl/sharedStrings.xml><?xml version="1.0" encoding="utf-8"?>
<sst xmlns="http://schemas.openxmlformats.org/spreadsheetml/2006/main" count="482" uniqueCount="276">
  <si>
    <t>WOOZAA FINANCIAL MODEL - DETAILED INPUTS</t>
  </si>
  <si>
    <t>Based on Business Plan - DACH Market Focus</t>
  </si>
  <si>
    <t>MARKET SIZE - DACH REGION</t>
  </si>
  <si>
    <t>Market Metrics</t>
  </si>
  <si>
    <t>Value</t>
  </si>
  <si>
    <t>Unit</t>
  </si>
  <si>
    <t>Notes</t>
  </si>
  <si>
    <t>TAM - Germany</t>
  </si>
  <si>
    <t>users</t>
  </si>
  <si>
    <t>Digitally active adults</t>
  </si>
  <si>
    <t>TAM - Austria</t>
  </si>
  <si>
    <t>TAM - Switzerland</t>
  </si>
  <si>
    <t>Total TAM DACH</t>
  </si>
  <si>
    <t>Adults 25-65 with smartphones</t>
  </si>
  <si>
    <t>ARPU Target</t>
  </si>
  <si>
    <t>€/year</t>
  </si>
  <si>
    <t>USER GROWTH - DETAILED BREAKDOWN</t>
  </si>
  <si>
    <t>Metric</t>
  </si>
  <si>
    <t>-- ACQUISITION CHANNELS --</t>
  </si>
  <si>
    <t>Paid Marketing Users</t>
  </si>
  <si>
    <t>Direct acquisition</t>
  </si>
  <si>
    <t>Organic/Viral Users</t>
  </si>
  <si>
    <t>Network effects</t>
  </si>
  <si>
    <t>Partnership Users</t>
  </si>
  <si>
    <t>B2B2C channels</t>
  </si>
  <si>
    <t>Total New Users</t>
  </si>
  <si>
    <t>Cumulative Users</t>
  </si>
  <si>
    <t>Total base</t>
  </si>
  <si>
    <t>-- CONVERSION METRICS --</t>
  </si>
  <si>
    <t>Free Users</t>
  </si>
  <si>
    <t>Conversion Rate</t>
  </si>
  <si>
    <t>Free to Paid</t>
  </si>
  <si>
    <t>-- RETENTION --</t>
  </si>
  <si>
    <t>Improving retention</t>
  </si>
  <si>
    <t>Annual Retention</t>
  </si>
  <si>
    <t>REVENUE MODEL - MULTI-STREAM DETAILED</t>
  </si>
  <si>
    <t>Revenue Stream</t>
  </si>
  <si>
    <t>-- SUBSCRIPTION TIERS --</t>
  </si>
  <si>
    <t>70% of users</t>
  </si>
  <si>
    <t>25% of users</t>
  </si>
  <si>
    <t>Premium Plan (€/year)</t>
  </si>
  <si>
    <t>5% of users</t>
  </si>
  <si>
    <t>Blended ARPU</t>
  </si>
  <si>
    <t>Weighted average</t>
  </si>
  <si>
    <t>-- DATA MONETIZATION --</t>
  </si>
  <si>
    <t>Insurance Insights (€/user)</t>
  </si>
  <si>
    <t>Allianz, AXA, Zurich</t>
  </si>
  <si>
    <t>Banking Insights (€/user)</t>
  </si>
  <si>
    <t>Deutsche Bank, N26</t>
  </si>
  <si>
    <t>Market Research (€/user)</t>
  </si>
  <si>
    <t>McKinsey, Nielsen</t>
  </si>
  <si>
    <t>Legal Tech (€/user)</t>
  </si>
  <si>
    <t>Notary networks</t>
  </si>
  <si>
    <t>Total Data Rev/User</t>
  </si>
  <si>
    <t>-- PARTNERSHIP COMMISSIONS --</t>
  </si>
  <si>
    <t>Insurance Referrals (€/user)</t>
  </si>
  <si>
    <t>€125 per policy</t>
  </si>
  <si>
    <t>Financial Products (€/user)</t>
  </si>
  <si>
    <t>€87.5 per conversion</t>
  </si>
  <si>
    <t>Legal Services (€/user)</t>
  </si>
  <si>
    <t>€300 per referral</t>
  </si>
  <si>
    <t>B2B2C Licenses (€/user)</t>
  </si>
  <si>
    <t>Corporate accounts</t>
  </si>
  <si>
    <t>Total Partnership/User</t>
  </si>
  <si>
    <t>COST STRUCTURE - DETAILED BREAKDOWN</t>
  </si>
  <si>
    <t>Cost Category</t>
  </si>
  <si>
    <t>-- PERSONNEL COSTS --</t>
  </si>
  <si>
    <t>Kukenan Partnership</t>
  </si>
  <si>
    <t>External dev team</t>
  </si>
  <si>
    <t>Internal Tech Team</t>
  </si>
  <si>
    <t>Marketing &amp; Growth</t>
  </si>
  <si>
    <t>Sales &amp; Customer Success</t>
  </si>
  <si>
    <t>Operations &amp; Admin</t>
  </si>
  <si>
    <t>Total Personnel</t>
  </si>
  <si>
    <t>-- MARKETING &amp; SALES --</t>
  </si>
  <si>
    <t>Digital Marketing</t>
  </si>
  <si>
    <t>Paid acquisition</t>
  </si>
  <si>
    <t>Content &amp; SEO</t>
  </si>
  <si>
    <t>Organic growth</t>
  </si>
  <si>
    <t>Events &amp; PR</t>
  </si>
  <si>
    <t>Brand building</t>
  </si>
  <si>
    <t>Total Marketing</t>
  </si>
  <si>
    <t>-- INFRASTRUCTURE --</t>
  </si>
  <si>
    <t>Cloud (Azure)</t>
  </si>
  <si>
    <t>Scalable infrastructure</t>
  </si>
  <si>
    <t>Software &amp; Tools</t>
  </si>
  <si>
    <t>Dev &amp; productivity</t>
  </si>
  <si>
    <t>Security &amp; Compliance</t>
  </si>
  <si>
    <t>GDPR, ISO 27001</t>
  </si>
  <si>
    <t>Office &amp; Admin</t>
  </si>
  <si>
    <t>Physical operations</t>
  </si>
  <si>
    <t>Other Operating</t>
  </si>
  <si>
    <t>Misc expenses</t>
  </si>
  <si>
    <t>Total Infrastructure</t>
  </si>
  <si>
    <t>FUNDING &amp; VALUATION</t>
  </si>
  <si>
    <t>Funding Round</t>
  </si>
  <si>
    <t>Seed Round</t>
  </si>
  <si>
    <t>Series A</t>
  </si>
  <si>
    <t>Q2 2027</t>
  </si>
  <si>
    <t>Growth capital</t>
  </si>
  <si>
    <t>Series B (Optional)</t>
  </si>
  <si>
    <t>Total Raised</t>
  </si>
  <si>
    <t>€7.8M to break-even</t>
  </si>
  <si>
    <t>WOOZAA FINANCIAL DASHBOARD</t>
  </si>
  <si>
    <t>Life Simplified. Future Secured.</t>
  </si>
  <si>
    <t>EXECUTIVE SUMMARY - KEY METRICS</t>
  </si>
  <si>
    <t>Total Users</t>
  </si>
  <si>
    <t>Total Revenue (€)</t>
  </si>
  <si>
    <t>- Subscription</t>
  </si>
  <si>
    <t>- Data Revenue</t>
  </si>
  <si>
    <t>- Partnerships</t>
  </si>
  <si>
    <t>EBITDA (€)</t>
  </si>
  <si>
    <t>EBITDA Margin %</t>
  </si>
  <si>
    <t>LTV/CAC Ratio</t>
  </si>
  <si>
    <t>Cash Position (€)</t>
  </si>
  <si>
    <t>WOOZAA FINANCIAL MODEL - INPUTS</t>
  </si>
  <si>
    <t>USER GROWTH ASSUMPTIONS</t>
  </si>
  <si>
    <t>New Users (Paid)</t>
  </si>
  <si>
    <t>Organic Users</t>
  </si>
  <si>
    <t>REVENUE MODEL - MULTI-STREAM</t>
  </si>
  <si>
    <t>-- SUBSCRIPTION --</t>
  </si>
  <si>
    <t>Blended ARPU (€)</t>
  </si>
  <si>
    <t>Data Revenue per User (€)</t>
  </si>
  <si>
    <t>-- PARTNERSHIPS --</t>
  </si>
  <si>
    <t>Commission per User (€)</t>
  </si>
  <si>
    <t>COST STRUCTURE</t>
  </si>
  <si>
    <t>Marketing Spend (€)</t>
  </si>
  <si>
    <t>Personnel Costs (€)</t>
  </si>
  <si>
    <t>Cloud Infrastructure (€)</t>
  </si>
  <si>
    <t>Software &amp; Tools (€)</t>
  </si>
  <si>
    <t>Office &amp; Admin (€)</t>
  </si>
  <si>
    <t>Other Operating (€)</t>
  </si>
  <si>
    <t>Total OpEx</t>
  </si>
  <si>
    <t>REVENUE CALCULATIONS</t>
  </si>
  <si>
    <t>Multi-Stream Model: Subscription + Data + Partnerships</t>
  </si>
  <si>
    <t>REVENUE BREAKDOWN</t>
  </si>
  <si>
    <t>SUBSCRIPTION REVENUE</t>
  </si>
  <si>
    <t>Subscription Revenue (€)</t>
  </si>
  <si>
    <t>DATA &amp; INSIGHTS REVENUE</t>
  </si>
  <si>
    <t>Revenue per User (€)</t>
  </si>
  <si>
    <t>Data Revenue (€)</t>
  </si>
  <si>
    <t>PARTNERSHIP REVENUE</t>
  </si>
  <si>
    <t>Partnership Revenue (€)</t>
  </si>
  <si>
    <t>TOTAL REVENUE (€)</t>
  </si>
  <si>
    <t>PROFIT &amp; LOSS STATEMENT</t>
  </si>
  <si>
    <t>P&amp;L STATEMENT (€)</t>
  </si>
  <si>
    <t>REVENUE</t>
  </si>
  <si>
    <t>Total Revenue</t>
  </si>
  <si>
    <t>OPERATING EXPENSES</t>
  </si>
  <si>
    <t>Marketing &amp; Sales</t>
  </si>
  <si>
    <t>Personnel Costs</t>
  </si>
  <si>
    <t>Cloud Infrastructure</t>
  </si>
  <si>
    <t>Legal &amp; Compliance</t>
  </si>
  <si>
    <t>EBITDA</t>
  </si>
  <si>
    <t>KEY PERFORMANCE INDICATORS</t>
  </si>
  <si>
    <t>UNIT ECONOMICS</t>
  </si>
  <si>
    <t>CASH FLOW STATEMENT</t>
  </si>
  <si>
    <t>CASH FLOW ANALYSIS (€)</t>
  </si>
  <si>
    <t>Operating Cash Flow</t>
  </si>
  <si>
    <t>Net Cash Flow</t>
  </si>
  <si>
    <t>Beginning Cash</t>
  </si>
  <si>
    <t>Ending Cash</t>
  </si>
  <si>
    <t>Average revenue per User</t>
  </si>
  <si>
    <t>MARKET SIZE - SPAIN</t>
  </si>
  <si>
    <t>TAM - Spain</t>
  </si>
  <si>
    <t>Total TAM</t>
  </si>
  <si>
    <t>40M total</t>
  </si>
  <si>
    <t>Percentage</t>
  </si>
  <si>
    <t>SAM (x% of TAM)</t>
  </si>
  <si>
    <t>SOM Target (x% in 5 years)</t>
  </si>
  <si>
    <t>Initial pricing for 1 year plan according to pricing model</t>
  </si>
  <si>
    <t>TOTAL SOM Target</t>
  </si>
  <si>
    <t>MARKET SIZE LAUNCH PHASE</t>
  </si>
  <si>
    <t>Market Metric DACH + SPAIN</t>
  </si>
  <si>
    <t>Annual churn Rate</t>
  </si>
  <si>
    <t>Premium plus (€/year)</t>
  </si>
  <si>
    <t>Pro Plan (€/year)</t>
  </si>
  <si>
    <t>n/a</t>
  </si>
  <si>
    <t>4% annual increase</t>
  </si>
  <si>
    <t>1→3 people</t>
  </si>
  <si>
    <t>TOTAL COST</t>
  </si>
  <si>
    <t>TOTAL EARNINGS</t>
  </si>
  <si>
    <t>TOTAL EARNINGS ACC.</t>
  </si>
  <si>
    <t>Annual Churn Rate</t>
  </si>
  <si>
    <t>Security &amp; Compliance (€)</t>
  </si>
  <si>
    <t>TOTAL Revenues</t>
  </si>
  <si>
    <t>Total Revenues</t>
  </si>
  <si>
    <t>Total Earnings</t>
  </si>
  <si>
    <t>Total Earnings Acc.</t>
  </si>
  <si>
    <t>Paying Users after Churn</t>
  </si>
  <si>
    <t>Customer Acquisition Cost - CAC (€)</t>
  </si>
  <si>
    <t>Customer Lifetime Value - LTV (€)</t>
  </si>
  <si>
    <t>Subtotal Raised</t>
  </si>
  <si>
    <t>Total Raised Acc.</t>
  </si>
  <si>
    <t>Subtotal Raised Acc.</t>
  </si>
  <si>
    <t>Total</t>
  </si>
  <si>
    <t>Total Acc.</t>
  </si>
  <si>
    <t>Cumulative paying Users after Churn</t>
  </si>
  <si>
    <t>Total New paying Users after Churn</t>
  </si>
  <si>
    <t>Series B (optional)</t>
  </si>
  <si>
    <t>Cash after payout</t>
  </si>
  <si>
    <t>Kistler</t>
  </si>
  <si>
    <t>Seed Investment</t>
  </si>
  <si>
    <t>Duration</t>
  </si>
  <si>
    <t>3 years minimum</t>
  </si>
  <si>
    <t>Annual Interest</t>
  </si>
  <si>
    <t>Percentage of ownership</t>
  </si>
  <si>
    <t>Percentage of votes</t>
  </si>
  <si>
    <t>Series A Investment</t>
  </si>
  <si>
    <t>Reimbursement to Investors</t>
  </si>
  <si>
    <t>Series B Investment</t>
  </si>
  <si>
    <t>2 years minimum</t>
  </si>
  <si>
    <t>Total Investment</t>
  </si>
  <si>
    <t>Minimum ticket</t>
  </si>
  <si>
    <t>Max number of Investors</t>
  </si>
  <si>
    <t>Minimum participation</t>
  </si>
  <si>
    <t>Reimbursement after minimum duration</t>
  </si>
  <si>
    <t>CapEx (Commission to agent)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</si>
  <si>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</si>
  <si>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</si>
  <si>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</si>
  <si>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</si>
  <si>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</si>
  <si>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</si>
  <si>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</si>
  <si>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</si>
  <si>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</si>
  <si>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</si>
  <si>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</si>
  <si>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</si>
  <si>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EBITDA ACC</t>
  </si>
  <si>
    <t>Investment Raised</t>
  </si>
  <si>
    <t>Target of Users in 5 years</t>
  </si>
  <si>
    <t>Paying Users acc.</t>
  </si>
  <si>
    <t>Percentage of user consent</t>
  </si>
  <si>
    <t>…per tier</t>
  </si>
  <si>
    <t>…per industry interest</t>
  </si>
  <si>
    <t>COO</t>
  </si>
  <si>
    <t>1 COO</t>
  </si>
  <si>
    <t>1 CTO: 100.000 €</t>
  </si>
  <si>
    <t>1 Marketing Manager: 70.000 €</t>
  </si>
  <si>
    <t>1-2 Business-Developer: 100.000 €</t>
  </si>
  <si>
    <t>1-5 Community Manager: 60.000 €</t>
  </si>
  <si>
    <t>1-3 Operations Admin: 55.000 €</t>
  </si>
  <si>
    <t>1→5 people</t>
  </si>
  <si>
    <t>1-3 Architects: 90.000 €</t>
  </si>
  <si>
    <t>1-2 Developer Senior: 100.000 €</t>
  </si>
  <si>
    <t>1-8 Developer Mid-Level: 80.000 €</t>
  </si>
  <si>
    <t>2→11 people</t>
  </si>
  <si>
    <t>Knacke</t>
  </si>
  <si>
    <t>optional</t>
  </si>
  <si>
    <t>Model Date: January 2026</t>
  </si>
  <si>
    <t>KUKENAN Development Team</t>
  </si>
  <si>
    <t>Ticket 1</t>
  </si>
  <si>
    <t>Ticket 2</t>
  </si>
  <si>
    <t>Ticket 3</t>
  </si>
  <si>
    <t>Ticket 4</t>
  </si>
  <si>
    <t>Ticket 5</t>
  </si>
  <si>
    <t>Ticket 6</t>
  </si>
  <si>
    <t>Ticket 7</t>
  </si>
  <si>
    <t>Ticket 8</t>
  </si>
  <si>
    <t>Ticket 9</t>
  </si>
  <si>
    <t>Q2 2026</t>
  </si>
  <si>
    <t>ok</t>
  </si>
  <si>
    <t>If needed Q2 2028</t>
  </si>
  <si>
    <t xml:space="preserve">All costs since 2024 til Q2-2026 have been funded out of internal project funds. </t>
  </si>
  <si>
    <t>Participation</t>
  </si>
  <si>
    <t>Possible Breakdown
Value</t>
  </si>
  <si>
    <t>Possible breakdown
Participation</t>
  </si>
  <si>
    <t>Investor(s) Seed Round</t>
  </si>
  <si>
    <t xml:space="preserve">Seed Round </t>
  </si>
  <si>
    <t xml:space="preserve">After Seed Round </t>
  </si>
  <si>
    <t>Investor(s) Series A</t>
  </si>
  <si>
    <t>Investor(s) Series B</t>
  </si>
  <si>
    <t>After Series A Investment</t>
  </si>
  <si>
    <t>After Phase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</si>
</sst>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0\ _€_-;\-* #,##0.000\ _€_-;_-* &quot;-&quot;???\ _€_-;_-@_-"/>
    <numFmt numFmtId="167" formatCode="0.0"/>
    <numFmt numFmtId="168" formatCode="0.0000%"/>
  </numFmts>
  <fonts count="31" x14ac:knownFonts="1">
    <font>
      <sz val="11"/>
      <color theme="1"/>
      <name val="Calibri"/>
      <family val="2"/>
      <scheme val="minor"/>
    </font>
    <font>
      <b/>
      <sz val="18"/>
      <color rgb="FF1E40AF"/>
      <name val="Calibri"/>
      <family val="2"/>
    </font>
    <font>
      <i/>
      <sz val="12"/>
      <color rgb="FF64748B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1"/>
      <color rgb="FF92400E"/>
      <name val="Calibri"/>
      <family val="2"/>
    </font>
    <font>
      <b/>
      <i/>
      <sz val="11"/>
      <color rgb="FF1E40AF"/>
      <name val="Calibri"/>
      <family val="2"/>
    </font>
    <font>
      <b/>
      <i/>
      <sz val="11"/>
      <color rgb="FF10B981"/>
      <name val="Calibri"/>
      <family val="2"/>
    </font>
    <font>
      <b/>
      <i/>
      <sz val="11"/>
      <color rgb="FFDC2626"/>
      <name val="Calibri"/>
      <family val="2"/>
    </font>
    <font>
      <b/>
      <sz val="20"/>
      <color rgb="FF1E40AF"/>
      <name val="Calibri"/>
      <family val="2"/>
    </font>
    <font>
      <i/>
      <sz val="14"/>
      <color rgb="FF64748B"/>
      <name val="Calibri"/>
      <family val="2"/>
    </font>
    <font>
      <b/>
      <sz val="14"/>
      <color rgb="FF1E40AF"/>
      <name val="Calibri"/>
      <family val="2"/>
    </font>
    <font>
      <i/>
      <sz val="10"/>
      <color rgb="FF64748B"/>
      <name val="Calibri"/>
      <family val="2"/>
    </font>
    <font>
      <b/>
      <sz val="11"/>
      <color rgb="FFDC2626"/>
      <name val="Calibri"/>
      <family val="2"/>
    </font>
    <font>
      <i/>
      <sz val="11"/>
      <color rgb="FF64748B"/>
      <name val="Calibri"/>
      <family val="2"/>
    </font>
    <font>
      <b/>
      <sz val="11"/>
      <color rgb="FF1E40AF"/>
      <name val="Calibri"/>
      <family val="2"/>
    </font>
    <font>
      <b/>
      <sz val="12"/>
      <color rgb="FF10B981"/>
      <name val="Calibri"/>
      <family val="2"/>
    </font>
    <font>
      <b/>
      <sz val="11"/>
      <color rgb="FF8B5CF6"/>
      <name val="Calibri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rgb="FF1E40AF"/>
      <name val="Calibri"/>
      <family val="2"/>
    </font>
    <font>
      <b/>
      <sz val="11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3">
    <fill>
      <patternFill patternType="none"/>
    </fill>
    <fill>
      <patternFill patternType="gray125"/>
    </fill>
    <fill>
      <patternFill patternType="solid">
        <fgColor rgb="FF1E40AF"/>
        <bgColor rgb="FF1E40AF"/>
      </patternFill>
    </fill>
    <fill>
      <patternFill patternType="solid">
        <fgColor rgb="FFE0E7FF"/>
        <bgColor rgb="FFE0E7FF"/>
      </patternFill>
    </fill>
    <fill>
      <patternFill patternType="solid">
        <fgColor rgb="FFFEF3C7"/>
        <bgColor rgb="FFFEF3C7"/>
      </patternFill>
    </fill>
    <fill>
      <patternFill patternType="solid">
        <fgColor rgb="FF10B981"/>
        <bgColor rgb="FF10B981"/>
      </patternFill>
    </fill>
    <fill>
      <patternFill patternType="solid">
        <fgColor rgb="FFDC2626"/>
        <bgColor rgb="FFDC2626"/>
      </patternFill>
    </fill>
    <fill>
      <patternFill patternType="solid">
        <fgColor rgb="FF7C3AED"/>
        <bgColor rgb="FF7C3AED"/>
      </patternFill>
    </fill>
    <fill>
      <patternFill patternType="solid">
        <fgColor rgb="FF8B5CF6"/>
        <bgColor rgb="FF8B5CF6"/>
      </patternFill>
    </fill>
    <fill>
      <patternFill patternType="solid">
        <fgColor rgb="FF065F46"/>
        <bgColor rgb="FF065F46"/>
      </patternFill>
    </fill>
    <fill>
      <patternFill patternType="solid">
        <fgColor theme="9" tint="0.59999389629810485"/>
        <bgColor rgb="FFFEF3C7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medium">
        <color indexed="64"/>
      </left>
      <right style="medium">
        <color indexed="64"/>
      </right>
      <top style="thin">
        <color rgb="FFE5E7EB"/>
      </top>
      <bottom style="thin">
        <color rgb="FFE5E7EB"/>
      </bottom>
      <diagonal/>
    </border>
    <border>
      <left style="medium">
        <color theme="1"/>
      </left>
      <right style="medium">
        <color theme="1"/>
      </right>
      <top style="thin">
        <color rgb="FFE5E7EB"/>
      </top>
      <bottom style="thin">
        <color rgb="FFE5E7EB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indexed="64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 style="thin">
        <color rgb="FFE5E7E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4" fillId="3" borderId="0" xfId="0" applyFont="1" applyFill="1"/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3" borderId="1" xfId="0" applyFont="1" applyFill="1" applyBorder="1"/>
    <xf numFmtId="0" fontId="4" fillId="0" borderId="1" xfId="0" applyFont="1" applyBorder="1"/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2" fillId="0" borderId="0" xfId="0" applyFont="1"/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5" fillId="4" borderId="1" xfId="0" applyNumberFormat="1" applyFont="1" applyFill="1" applyBorder="1"/>
    <xf numFmtId="0" fontId="6" fillId="0" borderId="1" xfId="0" applyFont="1" applyBorder="1"/>
    <xf numFmtId="0" fontId="13" fillId="0" borderId="1" xfId="0" applyFont="1" applyBorder="1"/>
    <xf numFmtId="0" fontId="14" fillId="0" borderId="0" xfId="0" applyFont="1"/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18" fillId="0" borderId="0" xfId="0" applyFont="1"/>
    <xf numFmtId="43" fontId="5" fillId="4" borderId="1" xfId="1" applyFont="1" applyFill="1" applyBorder="1"/>
    <xf numFmtId="165" fontId="5" fillId="4" borderId="1" xfId="1" applyNumberFormat="1" applyFont="1" applyFill="1" applyBorder="1"/>
    <xf numFmtId="165" fontId="0" fillId="0" borderId="1" xfId="1" applyNumberFormat="1" applyFont="1" applyBorder="1"/>
    <xf numFmtId="165" fontId="5" fillId="4" borderId="0" xfId="1" applyNumberFormat="1" applyFont="1" applyFill="1"/>
    <xf numFmtId="165" fontId="0" fillId="0" borderId="0" xfId="1" applyNumberFormat="1" applyFont="1"/>
    <xf numFmtId="43" fontId="5" fillId="4" borderId="0" xfId="1" applyFont="1" applyFill="1"/>
    <xf numFmtId="9" fontId="0" fillId="0" borderId="0" xfId="0" applyNumberFormat="1"/>
    <xf numFmtId="10" fontId="0" fillId="0" borderId="0" xfId="0" applyNumberFormat="1"/>
    <xf numFmtId="166" fontId="0" fillId="0" borderId="0" xfId="0" applyNumberFormat="1"/>
    <xf numFmtId="43" fontId="5" fillId="4" borderId="2" xfId="1" applyFont="1" applyFill="1" applyBorder="1"/>
    <xf numFmtId="43" fontId="5" fillId="4" borderId="3" xfId="1" applyFont="1" applyFill="1" applyBorder="1"/>
    <xf numFmtId="43" fontId="5" fillId="4" borderId="4" xfId="1" applyFont="1" applyFill="1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165" fontId="5" fillId="4" borderId="0" xfId="1" applyNumberFormat="1" applyFont="1" applyFill="1" applyBorder="1"/>
    <xf numFmtId="43" fontId="0" fillId="0" borderId="1" xfId="1" applyFont="1" applyBorder="1"/>
    <xf numFmtId="164" fontId="5" fillId="4" borderId="0" xfId="2" applyNumberFormat="1" applyFont="1" applyFill="1"/>
    <xf numFmtId="164" fontId="5" fillId="4" borderId="0" xfId="0" applyNumberFormat="1" applyFont="1" applyFill="1"/>
    <xf numFmtId="165" fontId="5" fillId="4" borderId="2" xfId="1" applyNumberFormat="1" applyFont="1" applyFill="1" applyBorder="1"/>
    <xf numFmtId="165" fontId="5" fillId="4" borderId="3" xfId="1" applyNumberFormat="1" applyFont="1" applyFill="1" applyBorder="1"/>
    <xf numFmtId="165" fontId="5" fillId="4" borderId="4" xfId="1" applyNumberFormat="1" applyFont="1" applyFill="1" applyBorder="1"/>
    <xf numFmtId="0" fontId="20" fillId="0" borderId="0" xfId="0" applyFont="1"/>
    <xf numFmtId="0" fontId="23" fillId="0" borderId="0" xfId="0" applyFont="1"/>
    <xf numFmtId="0" fontId="23" fillId="0" borderId="1" xfId="0" applyFont="1" applyBorder="1"/>
    <xf numFmtId="165" fontId="5" fillId="0" borderId="0" xfId="1" applyNumberFormat="1" applyFont="1" applyFill="1"/>
    <xf numFmtId="165" fontId="0" fillId="0" borderId="0" xfId="0" applyNumberFormat="1"/>
    <xf numFmtId="9" fontId="0" fillId="0" borderId="1" xfId="0" applyNumberFormat="1" applyBorder="1"/>
    <xf numFmtId="10" fontId="0" fillId="0" borderId="0" xfId="2" applyNumberFormat="1" applyFont="1"/>
    <xf numFmtId="0" fontId="0" fillId="0" borderId="6" xfId="0" applyBorder="1"/>
    <xf numFmtId="10" fontId="0" fillId="0" borderId="7" xfId="0" applyNumberFormat="1" applyBorder="1"/>
    <xf numFmtId="165" fontId="0" fillId="0" borderId="8" xfId="1" applyNumberFormat="1" applyFont="1" applyBorder="1"/>
    <xf numFmtId="10" fontId="0" fillId="0" borderId="2" xfId="2" applyNumberFormat="1" applyFont="1" applyBorder="1"/>
    <xf numFmtId="10" fontId="0" fillId="0" borderId="3" xfId="2" applyNumberFormat="1" applyFont="1" applyBorder="1"/>
    <xf numFmtId="165" fontId="0" fillId="0" borderId="0" xfId="1" applyNumberFormat="1" applyFont="1" applyFill="1" applyBorder="1"/>
    <xf numFmtId="0" fontId="0" fillId="0" borderId="0" xfId="2" applyNumberFormat="1" applyFont="1"/>
    <xf numFmtId="165" fontId="5" fillId="10" borderId="0" xfId="1" applyNumberFormat="1" applyFont="1" applyFill="1"/>
    <xf numFmtId="0" fontId="15" fillId="0" borderId="0" xfId="0" applyFont="1"/>
    <xf numFmtId="0" fontId="4" fillId="0" borderId="9" xfId="0" applyFont="1" applyBorder="1"/>
    <xf numFmtId="165" fontId="0" fillId="0" borderId="10" xfId="1" applyNumberFormat="1" applyFont="1" applyBorder="1"/>
    <xf numFmtId="165" fontId="0" fillId="0" borderId="6" xfId="1" applyNumberFormat="1" applyFont="1" applyBorder="1"/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2" xfId="0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4" fillId="3" borderId="10" xfId="0" applyFont="1" applyFill="1" applyBorder="1" applyAlignment="1">
      <alignment horizontal="center"/>
    </xf>
    <xf numFmtId="165" fontId="4" fillId="0" borderId="1" xfId="1" applyNumberFormat="1" applyFont="1" applyBorder="1"/>
    <xf numFmtId="165" fontId="4" fillId="0" borderId="9" xfId="1" applyNumberFormat="1" applyFont="1" applyBorder="1"/>
    <xf numFmtId="165" fontId="25" fillId="0" borderId="1" xfId="1" applyNumberFormat="1" applyFont="1" applyBorder="1"/>
    <xf numFmtId="165" fontId="25" fillId="0" borderId="9" xfId="1" applyNumberFormat="1" applyFont="1" applyBorder="1"/>
    <xf numFmtId="164" fontId="0" fillId="0" borderId="10" xfId="2" applyNumberFormat="1" applyFont="1" applyBorder="1"/>
    <xf numFmtId="164" fontId="0" fillId="0" borderId="11" xfId="2" applyNumberFormat="1" applyFont="1" applyBorder="1"/>
    <xf numFmtId="164" fontId="0" fillId="0" borderId="10" xfId="1" applyNumberFormat="1" applyFont="1" applyBorder="1"/>
    <xf numFmtId="165" fontId="26" fillId="0" borderId="1" xfId="1" applyNumberFormat="1" applyFont="1" applyBorder="1"/>
    <xf numFmtId="165" fontId="26" fillId="0" borderId="9" xfId="1" applyNumberFormat="1" applyFont="1" applyBorder="1"/>
    <xf numFmtId="165" fontId="19" fillId="0" borderId="1" xfId="1" applyNumberFormat="1" applyFont="1" applyBorder="1"/>
    <xf numFmtId="165" fontId="19" fillId="0" borderId="0" xfId="1" applyNumberFormat="1" applyFont="1"/>
    <xf numFmtId="165" fontId="27" fillId="0" borderId="0" xfId="1" applyNumberFormat="1" applyFont="1" applyBorder="1"/>
    <xf numFmtId="165" fontId="20" fillId="0" borderId="10" xfId="1" applyNumberFormat="1" applyFont="1" applyBorder="1"/>
    <xf numFmtId="165" fontId="20" fillId="0" borderId="11" xfId="1" applyNumberFormat="1" applyFont="1" applyBorder="1"/>
    <xf numFmtId="164" fontId="0" fillId="0" borderId="14" xfId="2" applyNumberFormat="1" applyFont="1" applyBorder="1"/>
    <xf numFmtId="164" fontId="0" fillId="0" borderId="13" xfId="2" applyNumberFormat="1" applyFont="1" applyBorder="1"/>
    <xf numFmtId="165" fontId="20" fillId="0" borderId="0" xfId="1" applyNumberFormat="1" applyFont="1" applyBorder="1"/>
    <xf numFmtId="165" fontId="20" fillId="0" borderId="1" xfId="1" applyNumberFormat="1" applyFont="1" applyBorder="1"/>
    <xf numFmtId="165" fontId="20" fillId="0" borderId="0" xfId="0" applyNumberFormat="1" applyFont="1"/>
    <xf numFmtId="167" fontId="0" fillId="0" borderId="1" xfId="0" applyNumberFormat="1" applyBorder="1"/>
    <xf numFmtId="10" fontId="0" fillId="0" borderId="0" xfId="2" applyNumberFormat="1" applyFont="1" applyFill="1" applyBorder="1"/>
    <xf numFmtId="43" fontId="0" fillId="0" borderId="0" xfId="1" applyFont="1"/>
    <xf numFmtId="10" fontId="4" fillId="0" borderId="1" xfId="0" applyNumberFormat="1" applyFont="1" applyBorder="1"/>
    <xf numFmtId="0" fontId="0" fillId="0" borderId="0" xfId="0" applyAlignment="1">
      <alignment horizontal="center"/>
    </xf>
    <xf numFmtId="0" fontId="0" fillId="11" borderId="0" xfId="0" applyFill="1"/>
    <xf numFmtId="165" fontId="0" fillId="11" borderId="0" xfId="1" applyNumberFormat="1" applyFont="1" applyFill="1" applyBorder="1"/>
    <xf numFmtId="0" fontId="4" fillId="3" borderId="0" xfId="0" applyFont="1" applyFill="1" applyAlignment="1">
      <alignment horizontal="center" vertical="center"/>
    </xf>
    <xf numFmtId="43" fontId="5" fillId="4" borderId="5" xfId="1" applyFont="1" applyFill="1" applyBorder="1"/>
    <xf numFmtId="43" fontId="0" fillId="0" borderId="0" xfId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8" xfId="1" applyFont="1" applyBorder="1" applyAlignment="1">
      <alignment horizontal="center"/>
    </xf>
    <xf numFmtId="43" fontId="0" fillId="0" borderId="8" xfId="1" applyFont="1" applyBorder="1"/>
    <xf numFmtId="165" fontId="0" fillId="0" borderId="8" xfId="1" applyNumberFormat="1" applyFont="1" applyFill="1" applyBorder="1"/>
    <xf numFmtId="0" fontId="0" fillId="0" borderId="15" xfId="0" applyBorder="1" applyAlignment="1">
      <alignment horizontal="center"/>
    </xf>
    <xf numFmtId="43" fontId="0" fillId="0" borderId="16" xfId="1" applyFont="1" applyBorder="1" applyAlignment="1">
      <alignment horizontal="center"/>
    </xf>
    <xf numFmtId="10" fontId="0" fillId="0" borderId="17" xfId="0" applyNumberFormat="1" applyBorder="1"/>
    <xf numFmtId="43" fontId="0" fillId="0" borderId="18" xfId="1" applyFont="1" applyBorder="1"/>
    <xf numFmtId="168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/>
    </xf>
    <xf numFmtId="0" fontId="3" fillId="7" borderId="0" xfId="0" applyFont="1" applyFill="1"/>
    <xf numFmtId="0" fontId="0" fillId="0" borderId="0" xfId="0"/>
    <xf numFmtId="0" fontId="3" fillId="2" borderId="0" xfId="0" applyFont="1" applyFill="1"/>
    <xf numFmtId="0" fontId="3" fillId="6" borderId="0" xfId="0" applyFont="1" applyFill="1"/>
    <xf numFmtId="0" fontId="3" fillId="5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43" fontId="5" fillId="4" borderId="3" xfId="1" applyNumberFormat="1" applyFont="1" applyFill="1" applyBorder="1"/>
    <xf numFmtId="43" fontId="0" fillId="0" borderId="1" xfId="1" applyNumberFormat="1" applyFont="1" applyBorder="1"/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34925</xdr:colOff>
      <xdr:row>1</xdr:row>
      <xdr:rowOff>127000</xdr:rowOff>
    </xdr:from>
    <xdr:ext cx="1714500" cy="5715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20591DA-5AEA-4402-9388-8947B2C252F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19925" y="314325"/>
          <a:ext cx="1714500" cy="571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22225</xdr:colOff>
      <xdr:row>0</xdr:row>
      <xdr:rowOff>123825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32875" y="123825"/>
          <a:ext cx="1428750" cy="4762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</xdr:colOff>
      <xdr:row>0</xdr:row>
      <xdr:rowOff>139700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4ACA3A2-6454-4952-BD84-7A0AC30C61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61200" y="139700"/>
          <a:ext cx="1428750" cy="476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0</xdr:row>
      <xdr:rowOff>117475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57DE61B-4C98-4967-8B94-77051E3FDA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08825" y="117475"/>
          <a:ext cx="1428750" cy="476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25400</xdr:colOff>
      <xdr:row>0</xdr:row>
      <xdr:rowOff>117475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D910EB0-18FF-4DA8-A214-A1DFA75146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9450" y="120650"/>
          <a:ext cx="1428750" cy="476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25400</xdr:colOff>
      <xdr:row>0</xdr:row>
      <xdr:rowOff>117475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22370EC-7AF3-4C60-A392-5D0CDFA4B7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10400" y="117475"/>
          <a:ext cx="1428750" cy="4762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41275</xdr:colOff>
      <xdr:row>0</xdr:row>
      <xdr:rowOff>130175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1D335ED-E091-447D-8459-4AE1DF7DBC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26275" y="130175"/>
          <a:ext cx="1428750" cy="4762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60325</xdr:colOff>
      <xdr:row>0</xdr:row>
      <xdr:rowOff>111125</xdr:rowOff>
    </xdr:from>
    <xdr:ext cx="1428750" cy="476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18E84B9-5067-406A-9718-BA4ABB1BFE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45325" y="111125"/>
          <a:ext cx="14287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EB91-EB67-427A-ACD6-00CA38433220}">
  <sheetPr>
    <tabColor theme="8" tint="-0.499984740745262"/>
  </sheetPr>
  <dimension ref="A1:H21"/>
  <sheetViews>
    <sheetView workbookViewId="0">
      <selection activeCell="A22" sqref="A22"/>
    </sheetView>
  </sheetViews>
  <sheetFormatPr baseColWidth="10" defaultColWidth="8.7265625" defaultRowHeight="14.5" x14ac:dyDescent="0.35"/>
  <cols>
    <col min="1" max="1" width="2" customWidth="1"/>
    <col min="2" max="2" width="31.7265625" customWidth="1"/>
    <col min="3" max="8" width="14" customWidth="1"/>
  </cols>
  <sheetData>
    <row r="1" spans="1:8" x14ac:dyDescent="0.35">
      <c r="A1" t="s">
        <v>263</v>
      </c>
    </row>
    <row r="2" spans="1:8" ht="26" x14ac:dyDescent="0.6">
      <c r="A2" t="s">
        <v>263</v>
      </c>
      <c r="B2" s="8" t="s">
        <v>103</v>
      </c>
    </row>
    <row r="3" spans="1:8" ht="18.5" x14ac:dyDescent="0.45">
      <c r="A3" t="s">
        <v>263</v>
      </c>
      <c r="B3" s="9" t="s">
        <v>104</v>
      </c>
    </row>
    <row r="4" spans="1:8" x14ac:dyDescent="0.35">
      <c r="A4" t="s">
        <v>263</v>
      </c>
      <c r="B4" t="s">
        <v>251</v>
      </c>
    </row>
    <row r="5" spans="1:8" x14ac:dyDescent="0.35">
      <c r="A5" t="s">
        <v>263</v>
      </c>
    </row>
    <row r="6" spans="1:8" ht="18.5" x14ac:dyDescent="0.45">
      <c r="A6" t="s">
        <v>263</v>
      </c>
      <c r="B6" s="118" t="s">
        <v>105</v>
      </c>
      <c r="C6" s="118"/>
      <c r="D6" s="118"/>
      <c r="E6" s="118"/>
      <c r="F6" s="118"/>
      <c r="G6" s="118"/>
      <c r="H6" s="118"/>
    </row>
    <row r="7" spans="1:8" x14ac:dyDescent="0.35">
      <c r="A7" t="s">
        <v>263</v>
      </c>
    </row>
    <row r="8" spans="1:8" x14ac:dyDescent="0.35">
      <c r="A8" t="s">
        <v>263</v>
      </c>
      <c r="B8" s="10" t="s">
        <v>17</v>
      </c>
      <c r="C8" s="18">
        <v>2026</v>
      </c>
      <c r="D8" s="18">
        <v>2027</v>
      </c>
      <c r="E8" s="18">
        <v>2028</v>
      </c>
      <c r="F8" s="18">
        <v>2029</v>
      </c>
      <c r="G8" s="18">
        <v>2030</v>
      </c>
      <c r="H8" s="18">
        <v>2031</v>
      </c>
    </row>
    <row r="9" spans="1:8" x14ac:dyDescent="0.35">
      <c r="A9" t="s">
        <v>263</v>
      </c>
      <c r="B9" s="11" t="s">
        <v>26</v>
      </c>
      <c r="C9" s="29">
        <f>InputsSummary!C11</f>
        <v>0</v>
      </c>
      <c r="D9" s="29">
        <f>InputsSummary!D11</f>
        <v>118968.75000000001</v>
      </c>
      <c r="E9" s="29">
        <f>InputsSummary!E11</f>
        <v>277593.75000000006</v>
      </c>
      <c r="F9" s="29">
        <f>InputsSummary!F11</f>
        <v>634500.00000000012</v>
      </c>
      <c r="G9" s="29">
        <f>InputsSummary!G11</f>
        <v>1110375.0000000002</v>
      </c>
      <c r="H9" s="29">
        <f>InputsSummary!H11</f>
        <v>1586250.0000000002</v>
      </c>
    </row>
    <row r="10" spans="1:8" x14ac:dyDescent="0.35">
      <c r="A10" t="s">
        <v>263</v>
      </c>
      <c r="B10" s="11" t="s">
        <v>197</v>
      </c>
      <c r="C10" s="29">
        <f>InputsSummary!C15</f>
        <v>0</v>
      </c>
      <c r="D10" s="29">
        <f>InputsSummary!D15</f>
        <v>16774.59375</v>
      </c>
      <c r="E10" s="29">
        <f>InputsSummary!E15</f>
        <v>64243.125000000007</v>
      </c>
      <c r="F10" s="29">
        <f>InputsSummary!F15</f>
        <v>186067.12500000003</v>
      </c>
      <c r="G10" s="29">
        <f>InputsSummary!G15</f>
        <v>427157.29687500012</v>
      </c>
      <c r="H10" s="29">
        <f>InputsSummary!H15</f>
        <v>811822.92187500023</v>
      </c>
    </row>
    <row r="11" spans="1:8" x14ac:dyDescent="0.35">
      <c r="A11" t="s">
        <v>263</v>
      </c>
      <c r="B11" s="11" t="s">
        <v>107</v>
      </c>
      <c r="C11" s="29">
        <f>Revenue!C28</f>
        <v>0</v>
      </c>
      <c r="D11" s="29">
        <f>Revenue!E28</f>
        <v>670480.51218750002</v>
      </c>
      <c r="E11" s="29">
        <f>Revenue!F28</f>
        <v>2496243.7532812501</v>
      </c>
      <c r="F11" s="29">
        <f>Revenue!G28</f>
        <v>7052263.1910000024</v>
      </c>
      <c r="G11" s="29">
        <f>Revenue!H28</f>
        <v>14158836.885375004</v>
      </c>
      <c r="H11" s="29">
        <f>Revenue!I28</f>
        <v>23466379.725000005</v>
      </c>
    </row>
    <row r="12" spans="1:8" x14ac:dyDescent="0.35">
      <c r="A12" t="s">
        <v>263</v>
      </c>
      <c r="B12" s="11" t="s">
        <v>108</v>
      </c>
      <c r="C12" s="29">
        <f>Revenue!C15</f>
        <v>0</v>
      </c>
      <c r="D12" s="29">
        <f>Revenue!E15</f>
        <v>670480.51218750002</v>
      </c>
      <c r="E12" s="29">
        <f>Revenue!F15</f>
        <v>2135371.8782812501</v>
      </c>
      <c r="F12" s="29">
        <f>Revenue!G15</f>
        <v>5723778.8160000024</v>
      </c>
      <c r="G12" s="29">
        <f>Revenue!H15</f>
        <v>11327380.635375004</v>
      </c>
      <c r="H12" s="29">
        <f>Revenue!I15</f>
        <v>18073129.725000005</v>
      </c>
    </row>
    <row r="13" spans="1:8" x14ac:dyDescent="0.35">
      <c r="A13" t="s">
        <v>263</v>
      </c>
      <c r="B13" s="11" t="s">
        <v>109</v>
      </c>
      <c r="C13" s="29">
        <f>Revenue!C20</f>
        <v>0</v>
      </c>
      <c r="D13" s="29">
        <f>Revenue!E20</f>
        <v>0</v>
      </c>
      <c r="E13" s="29">
        <f>Revenue!F20</f>
        <v>223809.96093750009</v>
      </c>
      <c r="F13" s="29">
        <f>Revenue!G20</f>
        <v>852609.37500000012</v>
      </c>
      <c r="G13" s="29">
        <f>Revenue!H20</f>
        <v>1790479.6875000005</v>
      </c>
      <c r="H13" s="29">
        <f>Revenue!I20</f>
        <v>3410437.5000000005</v>
      </c>
    </row>
    <row r="14" spans="1:8" x14ac:dyDescent="0.35">
      <c r="A14" t="s">
        <v>263</v>
      </c>
      <c r="B14" s="11" t="s">
        <v>110</v>
      </c>
      <c r="C14" s="29">
        <f>Revenue!C25</f>
        <v>0</v>
      </c>
      <c r="D14" s="29">
        <f>Revenue!E25</f>
        <v>0</v>
      </c>
      <c r="E14" s="29">
        <f>Revenue!F25</f>
        <v>137061.91406250003</v>
      </c>
      <c r="F14" s="29">
        <f>Revenue!G25</f>
        <v>475875.00000000006</v>
      </c>
      <c r="G14" s="29">
        <f>Revenue!H25</f>
        <v>1040976.5625000002</v>
      </c>
      <c r="H14" s="29">
        <f>Revenue!I25</f>
        <v>1982812.5000000002</v>
      </c>
    </row>
    <row r="15" spans="1:8" x14ac:dyDescent="0.35">
      <c r="A15" t="s">
        <v>263</v>
      </c>
      <c r="B15" s="11" t="s">
        <v>111</v>
      </c>
      <c r="C15" s="29">
        <f>PLAnnualSummary!C21</f>
        <v>-919000</v>
      </c>
      <c r="D15" s="29">
        <f>PLAnnualSummary!D21</f>
        <v>-1364199.4878125</v>
      </c>
      <c r="E15" s="29">
        <f>PLAnnualSummary!E21</f>
        <v>-593623.44671875006</v>
      </c>
      <c r="F15" s="29">
        <f>PLAnnualSummary!F21</f>
        <v>2182681.3030000022</v>
      </c>
      <c r="G15" s="29">
        <f>PLAnnualSummary!G21</f>
        <v>7208991.7218550043</v>
      </c>
      <c r="H15" s="29">
        <f>PLAnnualSummary!H21</f>
        <v>14997700.754939206</v>
      </c>
    </row>
    <row r="16" spans="1:8" x14ac:dyDescent="0.35">
      <c r="A16" t="s">
        <v>263</v>
      </c>
      <c r="B16" s="11" t="s">
        <v>112</v>
      </c>
      <c r="C16" s="14">
        <f>PLAnnualSummary!C22</f>
        <v>0</v>
      </c>
      <c r="D16" s="14">
        <f>PLAnnualSummary!D22</f>
        <v>-2.0346594166647476</v>
      </c>
      <c r="E16" s="14">
        <f>PLAnnualSummary!E22</f>
        <v>-0.23780668291646073</v>
      </c>
      <c r="F16" s="14">
        <f>PLAnnualSummary!F22</f>
        <v>0.30950082886661245</v>
      </c>
      <c r="G16" s="14">
        <f>PLAnnualSummary!G22</f>
        <v>0.50915140701291228</v>
      </c>
      <c r="H16" s="14">
        <f>PLAnnualSummary!H22</f>
        <v>0.63911438111441377</v>
      </c>
    </row>
    <row r="17" spans="1:8" x14ac:dyDescent="0.35">
      <c r="A17" t="s">
        <v>263</v>
      </c>
      <c r="B17" s="11" t="s">
        <v>113</v>
      </c>
      <c r="C17" s="15">
        <f>KPIs!C10</f>
        <v>0</v>
      </c>
      <c r="D17" s="15">
        <f>KPIs!D10</f>
        <v>10.456995117187502</v>
      </c>
      <c r="E17" s="15">
        <f>KPIs!E10</f>
        <v>3.9852782738095245</v>
      </c>
      <c r="F17" s="15">
        <f>KPIs!F10</f>
        <v>4.1181755313552202</v>
      </c>
      <c r="G17" s="15">
        <f>KPIs!G10</f>
        <v>3.6885127705627712</v>
      </c>
      <c r="H17" s="15">
        <f>KPIs!H10</f>
        <v>3.2589559926184939</v>
      </c>
    </row>
    <row r="18" spans="1:8" x14ac:dyDescent="0.35">
      <c r="A18" t="s">
        <v>263</v>
      </c>
      <c r="B18" s="11"/>
      <c r="C18" s="15"/>
      <c r="D18" s="15"/>
      <c r="E18" s="15"/>
      <c r="F18" s="15"/>
      <c r="G18" s="15"/>
      <c r="H18" s="15"/>
    </row>
    <row r="19" spans="1:8" x14ac:dyDescent="0.35">
      <c r="A19" t="s">
        <v>263</v>
      </c>
      <c r="B19" s="11" t="s">
        <v>231</v>
      </c>
      <c r="C19" s="29">
        <f>InputsDetails!D102</f>
        <v>1800000</v>
      </c>
      <c r="D19" s="29">
        <f>InputsDetails!E102</f>
        <v>2000000</v>
      </c>
      <c r="E19" s="29">
        <f>InputsDetails!F102</f>
        <v>4000000</v>
      </c>
      <c r="F19" s="29">
        <f>InputsDetails!G102</f>
        <v>0</v>
      </c>
      <c r="G19" s="29">
        <f>InputsDetails!H102</f>
        <v>0</v>
      </c>
      <c r="H19" s="29">
        <f>InputsDetails!I102</f>
        <v>0</v>
      </c>
    </row>
    <row r="20" spans="1:8" x14ac:dyDescent="0.35">
      <c r="A20" t="s">
        <v>263</v>
      </c>
      <c r="B20" s="11"/>
      <c r="C20" s="15"/>
      <c r="D20" s="15"/>
      <c r="E20" s="15"/>
      <c r="F20" s="15"/>
      <c r="G20" s="15"/>
      <c r="H20" s="15"/>
    </row>
    <row r="21" spans="1:8" x14ac:dyDescent="0.35">
      <c r="A21" s="26" t="s">
        <v>263</v>
      </c>
      <c r="B21" s="11" t="s">
        <v>114</v>
      </c>
      <c r="C21" s="29">
        <f>CashFlow!D21</f>
        <v>791000</v>
      </c>
      <c r="D21" s="29">
        <f>CashFlow!E21</f>
        <v>1326800.5121875</v>
      </c>
      <c r="E21" s="29">
        <f>CashFlow!F21</f>
        <v>533177.06546874996</v>
      </c>
      <c r="F21" s="29">
        <f>CashFlow!G21</f>
        <v>2715858.3684687521</v>
      </c>
      <c r="G21" s="29">
        <f>CashFlow!G21</f>
        <v>2715858.3684687521</v>
      </c>
      <c r="H21" s="29">
        <f>CashFlow!H21</f>
        <v>9924850.0903237574</v>
      </c>
    </row>
  </sheetData>
  <mergeCells count="1">
    <mergeCell ref="B6:H6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472C-B2CF-4A6F-A546-3ACA7840EDC7}">
  <sheetPr>
    <tabColor rgb="FFC00000"/>
  </sheetPr>
  <dimension ref="B1:M46"/>
  <sheetViews>
    <sheetView workbookViewId="0">
      <selection activeCell="D3" sqref="D3"/>
    </sheetView>
  </sheetViews>
  <sheetFormatPr baseColWidth="10" defaultRowHeight="14.5" x14ac:dyDescent="0.35"/>
  <cols>
    <col min="3" max="3" width="25.7265625" bestFit="1" customWidth="1"/>
    <col min="4" max="4" width="18.7265625" customWidth="1"/>
    <col min="5" max="5" width="18.7265625" style="96" customWidth="1"/>
    <col min="6" max="6" width="18.6328125" customWidth="1"/>
    <col min="7" max="7" width="18.6328125" style="31" customWidth="1"/>
    <col min="8" max="8" width="18.6328125" customWidth="1"/>
    <col min="9" max="9" width="18.6328125" style="31" customWidth="1"/>
  </cols>
  <sheetData>
    <row r="1" spans="2:9" ht="15" thickBot="1" x14ac:dyDescent="0.4"/>
    <row r="2" spans="2:9" ht="15" thickBot="1" x14ac:dyDescent="0.4">
      <c r="D2" s="115" t="s">
        <v>275</v>
      </c>
      <c r="E2" s="117"/>
      <c r="F2" s="115" t="s">
        <v>270</v>
      </c>
      <c r="G2" s="116"/>
      <c r="H2" s="116"/>
      <c r="I2" s="117"/>
    </row>
    <row r="3" spans="2:9" ht="29" x14ac:dyDescent="0.35">
      <c r="D3" s="104" t="s">
        <v>266</v>
      </c>
      <c r="E3" s="107" t="s">
        <v>4</v>
      </c>
      <c r="F3" s="104" t="s">
        <v>266</v>
      </c>
      <c r="G3" s="98" t="s">
        <v>4</v>
      </c>
      <c r="H3" s="106" t="s">
        <v>268</v>
      </c>
      <c r="I3" s="105" t="s">
        <v>267</v>
      </c>
    </row>
    <row r="4" spans="2:9" x14ac:dyDescent="0.35">
      <c r="C4" t="s">
        <v>201</v>
      </c>
      <c r="D4" s="58">
        <v>0.77500000000000002</v>
      </c>
      <c r="E4" s="59">
        <v>7893000</v>
      </c>
      <c r="F4" s="58">
        <v>0.65</v>
      </c>
      <c r="G4" s="42">
        <f>G7/F7*F4</f>
        <v>7800000</v>
      </c>
      <c r="H4" s="34">
        <v>0.65</v>
      </c>
      <c r="I4" s="59">
        <v>7800000</v>
      </c>
    </row>
    <row r="5" spans="2:9" x14ac:dyDescent="0.35">
      <c r="C5" t="s">
        <v>249</v>
      </c>
      <c r="D5" s="58">
        <v>0.22500000000000001</v>
      </c>
      <c r="E5" s="59">
        <v>2307000</v>
      </c>
      <c r="F5" s="58">
        <v>0.19</v>
      </c>
      <c r="G5" s="42">
        <f>G7/F7*F5</f>
        <v>2280000</v>
      </c>
      <c r="H5" s="34">
        <v>0.19</v>
      </c>
      <c r="I5" s="59">
        <v>2280000</v>
      </c>
    </row>
    <row r="6" spans="2:9" x14ac:dyDescent="0.35">
      <c r="C6" t="s">
        <v>252</v>
      </c>
      <c r="D6" s="58">
        <v>0</v>
      </c>
      <c r="E6" s="59"/>
      <c r="F6" s="58">
        <v>0.01</v>
      </c>
      <c r="G6" s="42">
        <v>120000</v>
      </c>
      <c r="H6" s="34">
        <v>0.01</v>
      </c>
      <c r="I6" s="59">
        <v>120000</v>
      </c>
    </row>
    <row r="7" spans="2:9" x14ac:dyDescent="0.35">
      <c r="B7" s="99"/>
      <c r="C7" s="99" t="s">
        <v>269</v>
      </c>
      <c r="D7" s="58">
        <v>0</v>
      </c>
      <c r="E7" s="59"/>
      <c r="F7" s="58">
        <v>0.15</v>
      </c>
      <c r="G7" s="100">
        <v>1800000</v>
      </c>
      <c r="H7" s="34"/>
      <c r="I7" s="59"/>
    </row>
    <row r="8" spans="2:9" x14ac:dyDescent="0.35">
      <c r="B8" s="99">
        <v>1</v>
      </c>
      <c r="C8" s="99" t="s">
        <v>253</v>
      </c>
      <c r="D8" s="58"/>
      <c r="E8" s="108"/>
      <c r="F8" s="58"/>
      <c r="G8" s="42"/>
      <c r="H8" s="34">
        <f>F$7/9</f>
        <v>1.6666666666666666E-2</v>
      </c>
      <c r="I8" s="59">
        <v>200000</v>
      </c>
    </row>
    <row r="9" spans="2:9" x14ac:dyDescent="0.35">
      <c r="B9" s="99">
        <v>2</v>
      </c>
      <c r="C9" s="99" t="s">
        <v>254</v>
      </c>
      <c r="D9" s="58"/>
      <c r="E9" s="108"/>
      <c r="F9" s="58"/>
      <c r="G9" s="42"/>
      <c r="H9" s="34">
        <f t="shared" ref="H9:H16" si="0">F$7/9</f>
        <v>1.6666666666666666E-2</v>
      </c>
      <c r="I9" s="59">
        <v>200000</v>
      </c>
    </row>
    <row r="10" spans="2:9" x14ac:dyDescent="0.35">
      <c r="B10" s="99">
        <v>3</v>
      </c>
      <c r="C10" s="99" t="s">
        <v>255</v>
      </c>
      <c r="D10" s="58"/>
      <c r="E10" s="108"/>
      <c r="F10" s="58"/>
      <c r="G10" s="42"/>
      <c r="H10" s="34">
        <f t="shared" si="0"/>
        <v>1.6666666666666666E-2</v>
      </c>
      <c r="I10" s="59">
        <v>200000</v>
      </c>
    </row>
    <row r="11" spans="2:9" x14ac:dyDescent="0.35">
      <c r="B11" s="99">
        <v>4</v>
      </c>
      <c r="C11" s="99" t="s">
        <v>256</v>
      </c>
      <c r="D11" s="58"/>
      <c r="E11" s="108"/>
      <c r="F11" s="58"/>
      <c r="G11" s="42"/>
      <c r="H11" s="34">
        <f t="shared" si="0"/>
        <v>1.6666666666666666E-2</v>
      </c>
      <c r="I11" s="59">
        <v>200000</v>
      </c>
    </row>
    <row r="12" spans="2:9" x14ac:dyDescent="0.35">
      <c r="B12" s="99">
        <v>5</v>
      </c>
      <c r="C12" s="99" t="s">
        <v>257</v>
      </c>
      <c r="D12" s="58"/>
      <c r="E12" s="108"/>
      <c r="F12" s="58"/>
      <c r="G12" s="42"/>
      <c r="H12" s="34">
        <f t="shared" si="0"/>
        <v>1.6666666666666666E-2</v>
      </c>
      <c r="I12" s="59">
        <v>200000</v>
      </c>
    </row>
    <row r="13" spans="2:9" x14ac:dyDescent="0.35">
      <c r="B13" s="99">
        <v>6</v>
      </c>
      <c r="C13" s="99" t="s">
        <v>258</v>
      </c>
      <c r="D13" s="58"/>
      <c r="E13" s="108"/>
      <c r="F13" s="58"/>
      <c r="G13" s="42"/>
      <c r="H13" s="34">
        <f t="shared" si="0"/>
        <v>1.6666666666666666E-2</v>
      </c>
      <c r="I13" s="59">
        <v>200000</v>
      </c>
    </row>
    <row r="14" spans="2:9" x14ac:dyDescent="0.35">
      <c r="B14" s="99">
        <v>7</v>
      </c>
      <c r="C14" s="99" t="s">
        <v>259</v>
      </c>
      <c r="D14" s="58"/>
      <c r="E14" s="108"/>
      <c r="F14" s="58"/>
      <c r="G14" s="42"/>
      <c r="H14" s="34">
        <f t="shared" si="0"/>
        <v>1.6666666666666666E-2</v>
      </c>
      <c r="I14" s="59">
        <v>200000</v>
      </c>
    </row>
    <row r="15" spans="2:9" x14ac:dyDescent="0.35">
      <c r="B15" s="99">
        <v>8</v>
      </c>
      <c r="C15" s="99" t="s">
        <v>260</v>
      </c>
      <c r="D15" s="58"/>
      <c r="E15" s="108"/>
      <c r="F15" s="58"/>
      <c r="G15" s="42"/>
      <c r="H15" s="34">
        <f t="shared" si="0"/>
        <v>1.6666666666666666E-2</v>
      </c>
      <c r="I15" s="59">
        <v>200000</v>
      </c>
    </row>
    <row r="16" spans="2:9" ht="15" thickBot="1" x14ac:dyDescent="0.4">
      <c r="B16" s="99">
        <v>9</v>
      </c>
      <c r="C16" s="99" t="s">
        <v>261</v>
      </c>
      <c r="D16" s="58"/>
      <c r="E16" s="108"/>
      <c r="F16" s="58"/>
      <c r="G16" s="42"/>
      <c r="H16" s="34">
        <f t="shared" si="0"/>
        <v>1.6666666666666666E-2</v>
      </c>
      <c r="I16" s="59">
        <v>200000</v>
      </c>
    </row>
    <row r="17" spans="2:13" ht="15" thickBot="1" x14ac:dyDescent="0.4">
      <c r="C17" s="31"/>
      <c r="D17" s="60">
        <f t="shared" ref="D17:I17" si="1">SUM(D4:D16)</f>
        <v>1</v>
      </c>
      <c r="E17" s="41">
        <f t="shared" si="1"/>
        <v>10200000</v>
      </c>
      <c r="F17" s="60">
        <f t="shared" si="1"/>
        <v>1</v>
      </c>
      <c r="G17" s="40">
        <f t="shared" si="1"/>
        <v>12000000</v>
      </c>
      <c r="H17" s="61">
        <f t="shared" si="1"/>
        <v>1.0000000000000004</v>
      </c>
      <c r="I17" s="41">
        <f t="shared" si="1"/>
        <v>12000000</v>
      </c>
    </row>
    <row r="20" spans="2:13" ht="15" thickBot="1" x14ac:dyDescent="0.4"/>
    <row r="21" spans="2:13" ht="15" thickBot="1" x14ac:dyDescent="0.4">
      <c r="D21" s="115" t="s">
        <v>271</v>
      </c>
      <c r="E21" s="117"/>
      <c r="F21" s="115" t="s">
        <v>208</v>
      </c>
      <c r="G21" s="116"/>
      <c r="H21" s="116"/>
      <c r="I21" s="117"/>
    </row>
    <row r="22" spans="2:13" ht="29" x14ac:dyDescent="0.35">
      <c r="D22" s="104" t="s">
        <v>266</v>
      </c>
      <c r="E22" s="107" t="s">
        <v>4</v>
      </c>
      <c r="F22" s="104" t="s">
        <v>266</v>
      </c>
      <c r="G22" s="98" t="s">
        <v>4</v>
      </c>
      <c r="H22" s="106" t="s">
        <v>268</v>
      </c>
      <c r="I22" s="105" t="s">
        <v>267</v>
      </c>
    </row>
    <row r="23" spans="2:13" x14ac:dyDescent="0.35">
      <c r="C23" t="s">
        <v>201</v>
      </c>
      <c r="D23" s="58">
        <v>0.65</v>
      </c>
      <c r="E23" s="59">
        <v>7800000</v>
      </c>
      <c r="F23" s="58">
        <v>0.55000000000000004</v>
      </c>
      <c r="G23" s="42">
        <f>G27*5.5</f>
        <v>11000000</v>
      </c>
      <c r="H23" s="34">
        <v>0.55000000000000004</v>
      </c>
      <c r="I23" s="59">
        <v>11000000</v>
      </c>
    </row>
    <row r="24" spans="2:13" x14ac:dyDescent="0.35">
      <c r="C24" t="s">
        <v>249</v>
      </c>
      <c r="D24" s="58">
        <v>0.19</v>
      </c>
      <c r="E24" s="59">
        <v>2280000</v>
      </c>
      <c r="F24" s="58">
        <v>0.19</v>
      </c>
      <c r="G24" s="42">
        <f>G27*1.9</f>
        <v>3800000</v>
      </c>
      <c r="H24" s="34">
        <v>0.19</v>
      </c>
      <c r="I24" s="59">
        <v>3800000</v>
      </c>
    </row>
    <row r="25" spans="2:13" x14ac:dyDescent="0.35">
      <c r="C25" t="s">
        <v>252</v>
      </c>
      <c r="D25" s="58">
        <v>0.01</v>
      </c>
      <c r="E25" s="59">
        <v>120000</v>
      </c>
      <c r="F25" s="58">
        <v>0.01</v>
      </c>
      <c r="G25" s="42">
        <v>200000</v>
      </c>
      <c r="H25" s="34">
        <v>0.01</v>
      </c>
      <c r="I25" s="59">
        <v>200000</v>
      </c>
    </row>
    <row r="26" spans="2:13" x14ac:dyDescent="0.35">
      <c r="C26" t="s">
        <v>269</v>
      </c>
      <c r="D26" s="58">
        <v>0.15</v>
      </c>
      <c r="E26" s="109">
        <v>1800000</v>
      </c>
      <c r="F26" s="58">
        <v>0.15</v>
      </c>
      <c r="G26" s="62">
        <f>G27*1.8</f>
        <v>3600000</v>
      </c>
      <c r="H26" s="34">
        <v>0.15</v>
      </c>
      <c r="I26" s="109">
        <v>3600000</v>
      </c>
      <c r="M26" s="54"/>
    </row>
    <row r="27" spans="2:13" x14ac:dyDescent="0.35">
      <c r="B27" s="99"/>
      <c r="C27" s="99" t="s">
        <v>272</v>
      </c>
      <c r="D27" s="58">
        <v>0</v>
      </c>
      <c r="E27" s="59"/>
      <c r="F27" s="58">
        <v>0.1</v>
      </c>
      <c r="G27" s="100">
        <v>2000000</v>
      </c>
      <c r="H27" s="34"/>
      <c r="I27" s="59"/>
      <c r="M27" s="54"/>
    </row>
    <row r="28" spans="2:13" x14ac:dyDescent="0.35">
      <c r="B28" s="99">
        <v>1</v>
      </c>
      <c r="C28" s="99" t="s">
        <v>253</v>
      </c>
      <c r="D28" s="58"/>
      <c r="E28" s="108"/>
      <c r="F28" s="58"/>
      <c r="G28" s="42"/>
      <c r="H28" s="34">
        <v>0.05</v>
      </c>
      <c r="I28" s="59">
        <v>1000000</v>
      </c>
    </row>
    <row r="29" spans="2:13" ht="15" thickBot="1" x14ac:dyDescent="0.4">
      <c r="B29" s="99">
        <v>2</v>
      </c>
      <c r="C29" s="99" t="s">
        <v>254</v>
      </c>
      <c r="D29" s="58"/>
      <c r="E29" s="108"/>
      <c r="F29" s="58"/>
      <c r="G29" s="42"/>
      <c r="H29" s="34">
        <v>0.05</v>
      </c>
      <c r="I29" s="59">
        <v>1000000</v>
      </c>
    </row>
    <row r="30" spans="2:13" ht="15" thickBot="1" x14ac:dyDescent="0.4">
      <c r="C30" s="31"/>
      <c r="D30" s="60">
        <f t="shared" ref="D30:I30" si="2">SUM(D23:D29)</f>
        <v>1</v>
      </c>
      <c r="E30" s="41">
        <f t="shared" si="2"/>
        <v>12000000</v>
      </c>
      <c r="F30" s="60">
        <f t="shared" si="2"/>
        <v>1</v>
      </c>
      <c r="G30" s="40">
        <f t="shared" si="2"/>
        <v>20600000</v>
      </c>
      <c r="H30" s="61">
        <f t="shared" si="2"/>
        <v>1</v>
      </c>
      <c r="I30" s="41">
        <f t="shared" si="2"/>
        <v>20600000</v>
      </c>
    </row>
    <row r="33" spans="2:9" ht="15" thickBot="1" x14ac:dyDescent="0.4"/>
    <row r="34" spans="2:9" ht="15" thickBot="1" x14ac:dyDescent="0.4">
      <c r="D34" s="115" t="s">
        <v>274</v>
      </c>
      <c r="E34" s="117"/>
      <c r="F34" s="115" t="s">
        <v>210</v>
      </c>
      <c r="G34" s="116"/>
      <c r="H34" s="116"/>
      <c r="I34" s="117"/>
    </row>
    <row r="35" spans="2:9" ht="29" x14ac:dyDescent="0.35">
      <c r="D35" s="110" t="s">
        <v>266</v>
      </c>
      <c r="E35" s="111" t="s">
        <v>4</v>
      </c>
      <c r="F35" s="104" t="s">
        <v>266</v>
      </c>
      <c r="G35" s="98" t="s">
        <v>4</v>
      </c>
      <c r="H35" s="106" t="s">
        <v>268</v>
      </c>
      <c r="I35" s="105" t="s">
        <v>267</v>
      </c>
    </row>
    <row r="36" spans="2:9" x14ac:dyDescent="0.35">
      <c r="C36" t="s">
        <v>201</v>
      </c>
      <c r="D36" s="58">
        <v>0.55000000000000004</v>
      </c>
      <c r="E36" s="59">
        <v>11000000</v>
      </c>
      <c r="F36" s="58">
        <v>0.5</v>
      </c>
      <c r="G36" s="42">
        <f>G41*10</f>
        <v>40000000</v>
      </c>
      <c r="H36" s="114">
        <v>0.5</v>
      </c>
      <c r="I36" s="59">
        <v>40000000</v>
      </c>
    </row>
    <row r="37" spans="2:9" x14ac:dyDescent="0.35">
      <c r="C37" t="s">
        <v>249</v>
      </c>
      <c r="D37" s="58">
        <v>0.19</v>
      </c>
      <c r="E37" s="59">
        <v>3800000</v>
      </c>
      <c r="F37" s="58">
        <v>0.19</v>
      </c>
      <c r="G37" s="42">
        <f>G41*3.8</f>
        <v>15200000</v>
      </c>
      <c r="H37" s="114">
        <v>0.19</v>
      </c>
      <c r="I37" s="59">
        <v>15200000</v>
      </c>
    </row>
    <row r="38" spans="2:9" x14ac:dyDescent="0.35">
      <c r="C38" t="s">
        <v>252</v>
      </c>
      <c r="D38" s="58">
        <v>0.01</v>
      </c>
      <c r="E38" s="59">
        <v>200000</v>
      </c>
      <c r="F38" s="58">
        <v>0.01</v>
      </c>
      <c r="G38" s="42">
        <v>400000</v>
      </c>
      <c r="H38" s="114">
        <v>0.01</v>
      </c>
      <c r="I38" s="59">
        <v>400000</v>
      </c>
    </row>
    <row r="39" spans="2:9" x14ac:dyDescent="0.35">
      <c r="C39" t="s">
        <v>269</v>
      </c>
      <c r="D39" s="58">
        <v>0.15</v>
      </c>
      <c r="E39" s="109">
        <v>3600000</v>
      </c>
      <c r="F39" s="58">
        <v>0.15</v>
      </c>
      <c r="G39" s="62">
        <f>G40*3</f>
        <v>24000000</v>
      </c>
      <c r="H39" s="114">
        <v>0.15</v>
      </c>
      <c r="I39" s="109">
        <v>24000000</v>
      </c>
    </row>
    <row r="40" spans="2:9" x14ac:dyDescent="0.35">
      <c r="C40" t="s">
        <v>272</v>
      </c>
      <c r="D40" s="58">
        <v>0.1</v>
      </c>
      <c r="E40" s="109">
        <v>2000000</v>
      </c>
      <c r="F40" s="58">
        <v>0.1</v>
      </c>
      <c r="G40" s="62">
        <f>G41*2</f>
        <v>8000000</v>
      </c>
      <c r="H40" s="114">
        <v>0.1</v>
      </c>
      <c r="I40" s="109">
        <v>8000000</v>
      </c>
    </row>
    <row r="41" spans="2:9" x14ac:dyDescent="0.35">
      <c r="B41" s="99"/>
      <c r="C41" s="99" t="s">
        <v>273</v>
      </c>
      <c r="D41" s="58">
        <v>0</v>
      </c>
      <c r="E41" s="59"/>
      <c r="F41" s="58">
        <v>0.05</v>
      </c>
      <c r="G41" s="100">
        <v>4000000</v>
      </c>
      <c r="H41" s="114"/>
      <c r="I41" s="59"/>
    </row>
    <row r="42" spans="2:9" x14ac:dyDescent="0.35">
      <c r="B42" s="99">
        <v>1</v>
      </c>
      <c r="C42" s="99" t="s">
        <v>253</v>
      </c>
      <c r="D42" s="58"/>
      <c r="E42" s="108"/>
      <c r="F42" s="58"/>
      <c r="G42" s="42"/>
      <c r="H42" s="114">
        <v>1.2500000000000001E-2</v>
      </c>
      <c r="I42" s="59">
        <v>1000000</v>
      </c>
    </row>
    <row r="43" spans="2:9" x14ac:dyDescent="0.35">
      <c r="B43" s="99">
        <v>2</v>
      </c>
      <c r="C43" s="99" t="s">
        <v>254</v>
      </c>
      <c r="D43" s="58"/>
      <c r="E43" s="108"/>
      <c r="F43" s="58"/>
      <c r="G43" s="42"/>
      <c r="H43" s="114">
        <v>1.2500000000000001E-2</v>
      </c>
      <c r="I43" s="59">
        <v>1000000</v>
      </c>
    </row>
    <row r="44" spans="2:9" x14ac:dyDescent="0.35">
      <c r="B44" s="99">
        <v>3</v>
      </c>
      <c r="C44" s="99" t="s">
        <v>254</v>
      </c>
      <c r="D44" s="58"/>
      <c r="E44" s="108"/>
      <c r="F44" s="58"/>
      <c r="G44" s="42"/>
      <c r="H44" s="114">
        <v>1.2500000000000001E-2</v>
      </c>
      <c r="I44" s="59">
        <v>1000000</v>
      </c>
    </row>
    <row r="45" spans="2:9" ht="15" thickBot="1" x14ac:dyDescent="0.4">
      <c r="B45" s="99">
        <v>4</v>
      </c>
      <c r="C45" s="99" t="s">
        <v>254</v>
      </c>
      <c r="D45" s="112"/>
      <c r="E45" s="113"/>
      <c r="F45" s="58"/>
      <c r="G45" s="42"/>
      <c r="H45" s="114">
        <v>1.2500000000000001E-2</v>
      </c>
      <c r="I45" s="59">
        <v>1000000</v>
      </c>
    </row>
    <row r="46" spans="2:9" ht="15" thickBot="1" x14ac:dyDescent="0.4">
      <c r="C46" s="31"/>
      <c r="D46" s="60">
        <f t="shared" ref="D46:I46" si="3">SUM(D36:D45)</f>
        <v>1</v>
      </c>
      <c r="E46" s="41">
        <f t="shared" si="3"/>
        <v>20600000</v>
      </c>
      <c r="F46" s="60">
        <f t="shared" si="3"/>
        <v>1</v>
      </c>
      <c r="G46" s="40">
        <f t="shared" si="3"/>
        <v>91600000</v>
      </c>
      <c r="H46" s="61">
        <f t="shared" si="3"/>
        <v>0.99999999999999978</v>
      </c>
      <c r="I46" s="41">
        <f t="shared" si="3"/>
        <v>91600000</v>
      </c>
    </row>
  </sheetData>
  <mergeCells count="6">
    <mergeCell ref="F2:I2"/>
    <mergeCell ref="F21:I21"/>
    <mergeCell ref="F34:I34"/>
    <mergeCell ref="D2:E2"/>
    <mergeCell ref="D21:E21"/>
    <mergeCell ref="D34:E34"/>
  </mergeCells>
  <phoneticPr fontId="24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9E0B"/>
  </sheetPr>
  <dimension ref="B2:R103"/>
  <sheetViews>
    <sheetView topLeftCell="A53" workbookViewId="0">
      <selection activeCell="H35" sqref="H35"/>
    </sheetView>
  </sheetViews>
  <sheetFormatPr baseColWidth="10" defaultColWidth="8.7265625" defaultRowHeight="14.5" x14ac:dyDescent="0.35"/>
  <cols>
    <col min="1" max="1" width="2" customWidth="1"/>
    <col min="2" max="3" width="32" customWidth="1"/>
    <col min="4" max="9" width="14" customWidth="1"/>
    <col min="10" max="10" width="25" customWidth="1"/>
    <col min="11" max="11" width="29.7265625" bestFit="1" customWidth="1"/>
    <col min="12" max="12" width="29.81640625" bestFit="1" customWidth="1"/>
    <col min="13" max="13" width="29.7265625" bestFit="1" customWidth="1"/>
    <col min="14" max="14" width="20.26953125" bestFit="1" customWidth="1"/>
    <col min="15" max="16" width="12.6328125" bestFit="1" customWidth="1"/>
    <col min="17" max="18" width="13.6328125" bestFit="1" customWidth="1"/>
  </cols>
  <sheetData>
    <row r="2" spans="2:10" ht="23.5" x14ac:dyDescent="0.55000000000000004">
      <c r="B2" s="1" t="s">
        <v>0</v>
      </c>
      <c r="C2" s="1"/>
    </row>
    <row r="3" spans="2:10" ht="15.5" x14ac:dyDescent="0.35">
      <c r="B3" s="2" t="s">
        <v>1</v>
      </c>
      <c r="C3" s="2"/>
    </row>
    <row r="6" spans="2:10" ht="15.5" x14ac:dyDescent="0.35">
      <c r="B6" s="121" t="s">
        <v>2</v>
      </c>
      <c r="C6" s="121"/>
      <c r="D6" s="120"/>
      <c r="E6" s="120"/>
      <c r="F6" s="120"/>
      <c r="G6" s="120"/>
      <c r="H6" s="120"/>
      <c r="I6" s="120"/>
      <c r="J6" s="120"/>
    </row>
    <row r="7" spans="2:10" x14ac:dyDescent="0.35">
      <c r="B7" s="3" t="s">
        <v>3</v>
      </c>
      <c r="C7" s="3" t="s">
        <v>167</v>
      </c>
      <c r="D7" s="3"/>
      <c r="E7" s="3" t="s">
        <v>4</v>
      </c>
      <c r="F7" s="3" t="s">
        <v>5</v>
      </c>
      <c r="G7" s="3" t="s">
        <v>6</v>
      </c>
    </row>
    <row r="8" spans="2:10" x14ac:dyDescent="0.35">
      <c r="B8" t="s">
        <v>7</v>
      </c>
      <c r="D8" s="30"/>
      <c r="E8" s="30">
        <v>72000000</v>
      </c>
      <c r="F8" t="s">
        <v>8</v>
      </c>
      <c r="G8" t="s">
        <v>9</v>
      </c>
    </row>
    <row r="9" spans="2:10" x14ac:dyDescent="0.35">
      <c r="B9" t="s">
        <v>10</v>
      </c>
      <c r="D9" s="30"/>
      <c r="E9" s="30">
        <v>7000000</v>
      </c>
      <c r="F9" t="s">
        <v>8</v>
      </c>
      <c r="G9" t="s">
        <v>9</v>
      </c>
    </row>
    <row r="10" spans="2:10" x14ac:dyDescent="0.35">
      <c r="B10" t="s">
        <v>11</v>
      </c>
      <c r="D10" s="30"/>
      <c r="E10" s="30">
        <v>6000000</v>
      </c>
      <c r="F10" t="s">
        <v>8</v>
      </c>
      <c r="G10" t="s">
        <v>9</v>
      </c>
    </row>
    <row r="11" spans="2:10" x14ac:dyDescent="0.35">
      <c r="B11" t="s">
        <v>12</v>
      </c>
      <c r="D11" s="31"/>
      <c r="E11" s="31">
        <f>E8+E9+E10</f>
        <v>85000000</v>
      </c>
      <c r="F11" t="s">
        <v>8</v>
      </c>
      <c r="G11" t="s">
        <v>9</v>
      </c>
    </row>
    <row r="12" spans="2:10" x14ac:dyDescent="0.35">
      <c r="B12" t="s">
        <v>168</v>
      </c>
      <c r="C12" s="33">
        <v>0.55000000000000004</v>
      </c>
      <c r="D12" s="31"/>
      <c r="E12" s="31">
        <f>E11*C12</f>
        <v>46750000.000000007</v>
      </c>
      <c r="F12" t="s">
        <v>8</v>
      </c>
      <c r="G12" t="s">
        <v>13</v>
      </c>
    </row>
    <row r="13" spans="2:10" x14ac:dyDescent="0.35">
      <c r="B13" t="s">
        <v>169</v>
      </c>
      <c r="C13" s="34">
        <v>2.7E-2</v>
      </c>
      <c r="D13" s="31"/>
      <c r="E13" s="31">
        <f>E12*C13</f>
        <v>1262250.0000000002</v>
      </c>
      <c r="F13" t="s">
        <v>8</v>
      </c>
      <c r="G13" t="s">
        <v>232</v>
      </c>
    </row>
    <row r="15" spans="2:10" ht="15.5" x14ac:dyDescent="0.35">
      <c r="B15" s="121" t="s">
        <v>163</v>
      </c>
      <c r="C15" s="121"/>
      <c r="D15" s="120"/>
      <c r="E15" s="120"/>
      <c r="F15" s="120"/>
      <c r="G15" s="120"/>
      <c r="H15" s="120"/>
      <c r="I15" s="120"/>
      <c r="J15" s="120"/>
    </row>
    <row r="16" spans="2:10" x14ac:dyDescent="0.35">
      <c r="B16" s="3" t="s">
        <v>3</v>
      </c>
      <c r="C16" s="3"/>
      <c r="D16" s="3"/>
      <c r="E16" s="3" t="s">
        <v>4</v>
      </c>
      <c r="F16" s="3" t="s">
        <v>5</v>
      </c>
      <c r="G16" s="3" t="s">
        <v>6</v>
      </c>
    </row>
    <row r="17" spans="2:10" x14ac:dyDescent="0.35">
      <c r="B17" t="s">
        <v>164</v>
      </c>
      <c r="D17" s="30"/>
      <c r="E17" s="30">
        <v>40000000</v>
      </c>
      <c r="F17" t="s">
        <v>8</v>
      </c>
      <c r="G17" t="s">
        <v>9</v>
      </c>
    </row>
    <row r="18" spans="2:10" x14ac:dyDescent="0.35">
      <c r="B18" t="s">
        <v>165</v>
      </c>
      <c r="D18" s="31"/>
      <c r="E18" s="31">
        <f>E17</f>
        <v>40000000</v>
      </c>
      <c r="F18" t="s">
        <v>8</v>
      </c>
      <c r="G18" t="s">
        <v>166</v>
      </c>
    </row>
    <row r="19" spans="2:10" x14ac:dyDescent="0.35">
      <c r="B19" t="s">
        <v>168</v>
      </c>
      <c r="C19" s="33">
        <v>0.3</v>
      </c>
      <c r="D19" s="31"/>
      <c r="E19" s="31">
        <f>E18*C19</f>
        <v>12000000</v>
      </c>
      <c r="F19" t="s">
        <v>8</v>
      </c>
      <c r="G19" t="s">
        <v>13</v>
      </c>
    </row>
    <row r="20" spans="2:10" x14ac:dyDescent="0.35">
      <c r="B20" t="s">
        <v>169</v>
      </c>
      <c r="C20" s="34">
        <v>2.7E-2</v>
      </c>
      <c r="D20" s="31"/>
      <c r="E20" s="31">
        <f>E19*C20</f>
        <v>324000</v>
      </c>
      <c r="F20" t="s">
        <v>8</v>
      </c>
      <c r="G20" t="s">
        <v>232</v>
      </c>
    </row>
    <row r="21" spans="2:10" x14ac:dyDescent="0.35">
      <c r="C21" s="34"/>
      <c r="D21" s="31"/>
      <c r="E21" s="31"/>
    </row>
    <row r="22" spans="2:10" ht="15.5" x14ac:dyDescent="0.35">
      <c r="B22" s="121" t="s">
        <v>172</v>
      </c>
      <c r="C22" s="121"/>
      <c r="D22" s="120"/>
      <c r="E22" s="120"/>
      <c r="F22" s="120"/>
      <c r="G22" s="120"/>
      <c r="H22" s="120"/>
      <c r="I22" s="120"/>
      <c r="J22" s="120"/>
    </row>
    <row r="23" spans="2:10" x14ac:dyDescent="0.35">
      <c r="B23" s="3" t="s">
        <v>173</v>
      </c>
      <c r="C23" s="3"/>
      <c r="D23" s="3"/>
      <c r="E23" s="3"/>
      <c r="F23" s="3"/>
      <c r="G23" s="3"/>
    </row>
    <row r="24" spans="2:10" x14ac:dyDescent="0.35">
      <c r="B24" t="s">
        <v>171</v>
      </c>
      <c r="D24" s="31"/>
      <c r="E24" s="31">
        <f>E13+E20</f>
        <v>1586250.0000000002</v>
      </c>
    </row>
    <row r="25" spans="2:10" x14ac:dyDescent="0.35">
      <c r="B25" t="s">
        <v>14</v>
      </c>
      <c r="C25" t="s">
        <v>162</v>
      </c>
      <c r="D25" s="32"/>
      <c r="E25" s="32">
        <v>39.97</v>
      </c>
      <c r="F25" t="s">
        <v>15</v>
      </c>
      <c r="G25" t="s">
        <v>170</v>
      </c>
    </row>
    <row r="26" spans="2:10" x14ac:dyDescent="0.35">
      <c r="D26" s="32"/>
      <c r="E26" s="32"/>
    </row>
    <row r="28" spans="2:10" ht="15.5" x14ac:dyDescent="0.35">
      <c r="B28" s="123" t="s">
        <v>16</v>
      </c>
      <c r="C28" s="123"/>
      <c r="D28" s="120"/>
      <c r="E28" s="120"/>
      <c r="F28" s="120"/>
      <c r="G28" s="120"/>
      <c r="H28" s="120"/>
      <c r="I28" s="120"/>
      <c r="J28" s="120"/>
    </row>
    <row r="29" spans="2:10" x14ac:dyDescent="0.35">
      <c r="B29" s="3" t="s">
        <v>17</v>
      </c>
      <c r="C29" s="3"/>
      <c r="D29" s="17">
        <v>2026</v>
      </c>
      <c r="E29" s="17">
        <v>2027</v>
      </c>
      <c r="F29" s="17">
        <v>2028</v>
      </c>
      <c r="G29" s="17">
        <v>2029</v>
      </c>
      <c r="H29" s="17">
        <v>2030</v>
      </c>
      <c r="I29" s="17">
        <v>2031</v>
      </c>
      <c r="J29" s="3" t="s">
        <v>6</v>
      </c>
    </row>
    <row r="30" spans="2:10" x14ac:dyDescent="0.35">
      <c r="B30" s="4" t="s">
        <v>18</v>
      </c>
      <c r="C30" s="4"/>
      <c r="D30" s="4"/>
      <c r="E30" s="4"/>
      <c r="F30" s="4"/>
      <c r="G30" s="4"/>
      <c r="H30" s="4"/>
      <c r="I30" s="4"/>
      <c r="J30" s="4"/>
    </row>
    <row r="31" spans="2:10" x14ac:dyDescent="0.35">
      <c r="B31" s="5" t="s">
        <v>19</v>
      </c>
      <c r="C31" s="5"/>
      <c r="D31" s="30">
        <v>0</v>
      </c>
      <c r="E31" s="30">
        <f>E34/2</f>
        <v>59484.375000000007</v>
      </c>
      <c r="F31" s="30">
        <f>F34/4.5</f>
        <v>35250.000000000007</v>
      </c>
      <c r="G31" s="30">
        <f>(G34-G33)/5.5</f>
        <v>55801.136363636375</v>
      </c>
      <c r="H31" s="30">
        <f>(H34-H33)/5.5</f>
        <v>72886.363636363647</v>
      </c>
      <c r="I31" s="30">
        <f>(I34-I33)/5.5</f>
        <v>68340.909090909103</v>
      </c>
      <c r="J31" t="s">
        <v>20</v>
      </c>
    </row>
    <row r="32" spans="2:10" x14ac:dyDescent="0.35">
      <c r="B32" s="5" t="s">
        <v>21</v>
      </c>
      <c r="C32" s="5"/>
      <c r="D32" s="30">
        <v>0</v>
      </c>
      <c r="E32" s="30">
        <f>E34/2</f>
        <v>59484.375000000007</v>
      </c>
      <c r="F32" s="30">
        <f>F34*3.5/4.5</f>
        <v>123375.00000000003</v>
      </c>
      <c r="G32" s="30">
        <f>(G34-G33)*4.5/5.5</f>
        <v>251105.11363636368</v>
      </c>
      <c r="H32" s="30">
        <f>(H34-H33)*4.5/5.5</f>
        <v>327988.63636363641</v>
      </c>
      <c r="I32" s="30">
        <f>(I34-I33)*4.5/5.5</f>
        <v>307534.09090909094</v>
      </c>
      <c r="J32" t="s">
        <v>22</v>
      </c>
    </row>
    <row r="33" spans="2:15" x14ac:dyDescent="0.35">
      <c r="B33" s="5" t="s">
        <v>23</v>
      </c>
      <c r="C33" s="5"/>
      <c r="D33" s="30">
        <v>0</v>
      </c>
      <c r="E33" s="30">
        <v>0</v>
      </c>
      <c r="F33" s="30">
        <v>0</v>
      </c>
      <c r="G33" s="30">
        <v>50000</v>
      </c>
      <c r="H33" s="30">
        <v>75000</v>
      </c>
      <c r="I33" s="30">
        <v>100000</v>
      </c>
      <c r="J33" t="s">
        <v>24</v>
      </c>
    </row>
    <row r="34" spans="2:15" x14ac:dyDescent="0.35">
      <c r="B34" s="5" t="s">
        <v>25</v>
      </c>
      <c r="C34" s="5"/>
      <c r="D34" s="31">
        <v>0</v>
      </c>
      <c r="E34" s="31">
        <f>I35*0.075</f>
        <v>118968.75000000001</v>
      </c>
      <c r="F34" s="31">
        <f>I35*0.1</f>
        <v>158625.00000000003</v>
      </c>
      <c r="G34" s="31">
        <f>I35*0.225</f>
        <v>356906.25000000006</v>
      </c>
      <c r="H34" s="31">
        <f>I35*0.3</f>
        <v>475875.00000000006</v>
      </c>
      <c r="I34" s="31">
        <f>I35*0.3</f>
        <v>475875.00000000006</v>
      </c>
    </row>
    <row r="35" spans="2:15" x14ac:dyDescent="0.35">
      <c r="B35" s="5" t="s">
        <v>26</v>
      </c>
      <c r="C35" s="5"/>
      <c r="D35" s="30">
        <f>D34</f>
        <v>0</v>
      </c>
      <c r="E35" s="30">
        <f>D35+E34</f>
        <v>118968.75000000001</v>
      </c>
      <c r="F35" s="30">
        <f>E35+F34</f>
        <v>277593.75000000006</v>
      </c>
      <c r="G35" s="30">
        <f t="shared" ref="G35:H35" si="0">F35+G34</f>
        <v>634500.00000000012</v>
      </c>
      <c r="H35" s="30">
        <f t="shared" si="0"/>
        <v>1110375.0000000002</v>
      </c>
      <c r="I35" s="30">
        <f>E24</f>
        <v>1586250.0000000002</v>
      </c>
      <c r="J35" t="s">
        <v>27</v>
      </c>
    </row>
    <row r="36" spans="2:15" x14ac:dyDescent="0.35">
      <c r="B36" s="4" t="s">
        <v>28</v>
      </c>
      <c r="C36" s="4"/>
      <c r="D36" s="4"/>
      <c r="E36" s="4"/>
      <c r="F36" s="4"/>
      <c r="G36" s="4"/>
      <c r="H36" s="4"/>
      <c r="I36" s="4"/>
      <c r="J36" s="4"/>
    </row>
    <row r="37" spans="2:15" x14ac:dyDescent="0.35">
      <c r="B37" s="5" t="s">
        <v>29</v>
      </c>
      <c r="C37" s="5"/>
      <c r="D37" s="31">
        <f t="shared" ref="D37:I37" si="1">D35*(1-D38)</f>
        <v>0</v>
      </c>
      <c r="E37" s="31">
        <f t="shared" si="1"/>
        <v>101123.43750000001</v>
      </c>
      <c r="F37" s="31">
        <f t="shared" si="1"/>
        <v>227626.87500000006</v>
      </c>
      <c r="G37" s="31">
        <f t="shared" si="1"/>
        <v>507600.00000000012</v>
      </c>
      <c r="H37" s="31">
        <f t="shared" si="1"/>
        <v>860540.62500000023</v>
      </c>
      <c r="I37" s="31">
        <f t="shared" si="1"/>
        <v>1189687.5000000002</v>
      </c>
    </row>
    <row r="38" spans="2:15" x14ac:dyDescent="0.35">
      <c r="B38" s="5" t="s">
        <v>30</v>
      </c>
      <c r="C38" s="5"/>
      <c r="D38" s="45">
        <v>0</v>
      </c>
      <c r="E38" s="45">
        <v>0.15</v>
      </c>
      <c r="F38" s="45">
        <v>0.18</v>
      </c>
      <c r="G38" s="45">
        <v>0.2</v>
      </c>
      <c r="H38" s="45">
        <v>0.22500000000000001</v>
      </c>
      <c r="I38" s="45">
        <v>0.25</v>
      </c>
      <c r="J38" t="s">
        <v>31</v>
      </c>
    </row>
    <row r="39" spans="2:15" x14ac:dyDescent="0.35">
      <c r="B39" s="5" t="s">
        <v>233</v>
      </c>
      <c r="C39" s="5"/>
      <c r="D39" s="31">
        <f t="shared" ref="D39:I39" si="2">D35*D38</f>
        <v>0</v>
      </c>
      <c r="E39" s="31">
        <f t="shared" si="2"/>
        <v>17845.3125</v>
      </c>
      <c r="F39" s="31">
        <f t="shared" si="2"/>
        <v>49966.875000000007</v>
      </c>
      <c r="G39" s="31">
        <f t="shared" si="2"/>
        <v>126900.00000000003</v>
      </c>
      <c r="H39" s="31">
        <f t="shared" si="2"/>
        <v>249834.37500000006</v>
      </c>
      <c r="I39" s="31">
        <f t="shared" si="2"/>
        <v>396562.50000000006</v>
      </c>
    </row>
    <row r="40" spans="2:15" x14ac:dyDescent="0.35">
      <c r="B40" s="4" t="s">
        <v>32</v>
      </c>
      <c r="C40" s="4"/>
      <c r="D40" s="4"/>
      <c r="E40" s="4"/>
      <c r="F40" s="4"/>
      <c r="G40" s="4"/>
      <c r="H40" s="4"/>
      <c r="I40" s="4"/>
      <c r="J40" s="4"/>
    </row>
    <row r="41" spans="2:15" x14ac:dyDescent="0.35">
      <c r="B41" s="5" t="s">
        <v>174</v>
      </c>
      <c r="C41" s="5"/>
      <c r="D41" s="46">
        <v>0.06</v>
      </c>
      <c r="E41" s="46">
        <v>0.06</v>
      </c>
      <c r="F41" s="46">
        <v>0.05</v>
      </c>
      <c r="G41" s="46">
        <v>0.04</v>
      </c>
      <c r="H41" s="46">
        <v>3.5000000000000003E-2</v>
      </c>
      <c r="I41" s="46">
        <v>0.03</v>
      </c>
      <c r="J41" t="s">
        <v>33</v>
      </c>
    </row>
    <row r="42" spans="2:15" x14ac:dyDescent="0.35">
      <c r="B42" s="5" t="s">
        <v>34</v>
      </c>
      <c r="C42" s="5"/>
      <c r="D42" s="31">
        <f>D39*(1-D41)</f>
        <v>0</v>
      </c>
      <c r="E42" s="31">
        <f>E39*(1-E41)</f>
        <v>16774.59375</v>
      </c>
      <c r="F42" s="31">
        <f t="shared" ref="F42:I42" si="3">F39*(1-F41)</f>
        <v>47468.531250000007</v>
      </c>
      <c r="G42" s="31">
        <f t="shared" si="3"/>
        <v>121824.00000000003</v>
      </c>
      <c r="H42" s="31">
        <f t="shared" si="3"/>
        <v>241090.17187500006</v>
      </c>
      <c r="I42" s="31">
        <f t="shared" si="3"/>
        <v>384665.62500000006</v>
      </c>
      <c r="O42" s="35"/>
    </row>
    <row r="44" spans="2:15" ht="15.5" x14ac:dyDescent="0.35">
      <c r="B44" s="123" t="s">
        <v>35</v>
      </c>
      <c r="C44" s="123"/>
      <c r="D44" s="120"/>
      <c r="E44" s="120"/>
      <c r="F44" s="120"/>
      <c r="G44" s="120"/>
      <c r="H44" s="120"/>
      <c r="I44" s="120"/>
      <c r="J44" s="120"/>
    </row>
    <row r="45" spans="2:15" x14ac:dyDescent="0.35">
      <c r="B45" s="3" t="s">
        <v>36</v>
      </c>
      <c r="C45" s="3" t="s">
        <v>234</v>
      </c>
      <c r="D45" s="17">
        <v>2026</v>
      </c>
      <c r="E45" s="17">
        <v>2027</v>
      </c>
      <c r="F45" s="17">
        <v>2028</v>
      </c>
      <c r="G45" s="17">
        <v>2029</v>
      </c>
      <c r="H45" s="17">
        <v>2030</v>
      </c>
      <c r="I45" s="101">
        <v>2031</v>
      </c>
      <c r="J45" s="3" t="s">
        <v>6</v>
      </c>
    </row>
    <row r="46" spans="2:15" x14ac:dyDescent="0.35">
      <c r="B46" s="6" t="s">
        <v>37</v>
      </c>
      <c r="C46" s="6" t="s">
        <v>235</v>
      </c>
      <c r="D46" s="6"/>
      <c r="E46" s="6"/>
      <c r="F46" s="6"/>
      <c r="G46" s="6"/>
      <c r="H46" s="6"/>
      <c r="I46" s="6"/>
      <c r="J46" s="6"/>
    </row>
    <row r="47" spans="2:15" x14ac:dyDescent="0.35">
      <c r="B47" t="s">
        <v>40</v>
      </c>
      <c r="C47" s="56">
        <v>0.7</v>
      </c>
      <c r="D47" s="32">
        <v>0</v>
      </c>
      <c r="E47" s="32">
        <v>39.97</v>
      </c>
      <c r="F47" s="32">
        <v>39.99</v>
      </c>
      <c r="G47" s="32">
        <v>39.99</v>
      </c>
      <c r="H47" s="32">
        <v>39.99</v>
      </c>
      <c r="I47" s="32">
        <v>39.99</v>
      </c>
      <c r="J47" t="s">
        <v>38</v>
      </c>
    </row>
    <row r="48" spans="2:15" x14ac:dyDescent="0.35">
      <c r="B48" t="s">
        <v>175</v>
      </c>
      <c r="C48" s="56">
        <v>0.25</v>
      </c>
      <c r="D48" s="32">
        <v>0</v>
      </c>
      <c r="E48" s="32" t="s">
        <v>177</v>
      </c>
      <c r="F48" s="32">
        <v>59.97</v>
      </c>
      <c r="G48" s="32">
        <v>59.97</v>
      </c>
      <c r="H48" s="32">
        <v>59.97</v>
      </c>
      <c r="I48" s="32">
        <v>59.97</v>
      </c>
      <c r="J48" t="s">
        <v>39</v>
      </c>
    </row>
    <row r="49" spans="2:18" ht="15" thickBot="1" x14ac:dyDescent="0.4">
      <c r="B49" t="s">
        <v>176</v>
      </c>
      <c r="C49" s="56">
        <v>0.05</v>
      </c>
      <c r="D49" s="32"/>
      <c r="E49" s="32" t="s">
        <v>177</v>
      </c>
      <c r="F49" s="32" t="s">
        <v>177</v>
      </c>
      <c r="G49" s="32">
        <v>79.97</v>
      </c>
      <c r="H49" s="32">
        <v>79.97</v>
      </c>
      <c r="I49" s="32">
        <v>79.97</v>
      </c>
      <c r="J49" t="s">
        <v>41</v>
      </c>
    </row>
    <row r="50" spans="2:18" ht="15" thickBot="1" x14ac:dyDescent="0.4">
      <c r="B50" s="50" t="s">
        <v>42</v>
      </c>
      <c r="D50" s="102"/>
      <c r="E50" s="36">
        <v>39.97</v>
      </c>
      <c r="F50" s="37">
        <f>(F47*75+F48*25)/100</f>
        <v>44.984999999999999</v>
      </c>
      <c r="G50" s="37">
        <f>(G47*70+G48*25+G49*5)/100</f>
        <v>46.984000000000009</v>
      </c>
      <c r="H50" s="132">
        <f t="shared" ref="H50:I50" si="4">(H47*70+H48*25+H49*5)/100</f>
        <v>46.984000000000009</v>
      </c>
      <c r="I50" s="38">
        <f t="shared" si="4"/>
        <v>46.984000000000009</v>
      </c>
      <c r="J50" t="s">
        <v>43</v>
      </c>
    </row>
    <row r="51" spans="2:18" x14ac:dyDescent="0.35">
      <c r="B51" s="6" t="s">
        <v>44</v>
      </c>
      <c r="C51" s="6" t="s">
        <v>236</v>
      </c>
      <c r="D51" s="6"/>
      <c r="E51" s="6"/>
      <c r="F51" s="6"/>
      <c r="G51" s="6"/>
      <c r="H51" s="6"/>
      <c r="I51" s="6"/>
      <c r="J51" s="6"/>
    </row>
    <row r="52" spans="2:18" x14ac:dyDescent="0.35">
      <c r="B52" t="s">
        <v>45</v>
      </c>
      <c r="C52" s="56">
        <v>0.5</v>
      </c>
      <c r="D52" s="32"/>
      <c r="E52" s="32">
        <v>0</v>
      </c>
      <c r="F52" s="32">
        <v>0.6</v>
      </c>
      <c r="G52" s="32">
        <v>1.2</v>
      </c>
      <c r="H52" s="32">
        <v>1.5</v>
      </c>
      <c r="I52" s="32">
        <v>1.5</v>
      </c>
      <c r="J52" t="s">
        <v>46</v>
      </c>
      <c r="N52" s="96"/>
      <c r="O52" s="96"/>
      <c r="P52" s="96"/>
      <c r="Q52" s="96"/>
      <c r="R52" s="96"/>
    </row>
    <row r="53" spans="2:18" x14ac:dyDescent="0.35">
      <c r="B53" t="s">
        <v>47</v>
      </c>
      <c r="C53" s="56">
        <v>0.6</v>
      </c>
      <c r="D53" s="32"/>
      <c r="E53" s="32">
        <v>0</v>
      </c>
      <c r="F53" s="32">
        <v>0.5</v>
      </c>
      <c r="G53" s="32">
        <v>0.75</v>
      </c>
      <c r="H53" s="32">
        <v>1</v>
      </c>
      <c r="I53" s="32">
        <v>1.25</v>
      </c>
      <c r="J53" t="s">
        <v>48</v>
      </c>
      <c r="N53" s="96"/>
      <c r="O53" s="96"/>
      <c r="P53" s="96"/>
      <c r="Q53" s="96"/>
      <c r="R53" s="96"/>
    </row>
    <row r="54" spans="2:18" x14ac:dyDescent="0.35">
      <c r="B54" t="s">
        <v>49</v>
      </c>
      <c r="C54" s="56">
        <v>0.4</v>
      </c>
      <c r="D54" s="32"/>
      <c r="E54" s="32">
        <v>0</v>
      </c>
      <c r="F54" s="32">
        <v>0.3</v>
      </c>
      <c r="G54" s="32">
        <v>0.4</v>
      </c>
      <c r="H54" s="32">
        <v>0.35</v>
      </c>
      <c r="I54" s="32">
        <v>0.75</v>
      </c>
      <c r="J54" t="s">
        <v>50</v>
      </c>
      <c r="N54" s="96"/>
      <c r="O54" s="96"/>
      <c r="P54" s="96"/>
      <c r="Q54" s="96"/>
      <c r="R54" s="96"/>
    </row>
    <row r="55" spans="2:18" ht="15" thickBot="1" x14ac:dyDescent="0.4">
      <c r="B55" t="s">
        <v>51</v>
      </c>
      <c r="C55" s="56">
        <v>0.65</v>
      </c>
      <c r="D55" s="32"/>
      <c r="E55" s="32">
        <v>0</v>
      </c>
      <c r="F55" s="32">
        <v>0.1</v>
      </c>
      <c r="G55" s="32">
        <v>0.15</v>
      </c>
      <c r="H55" s="32">
        <v>0.15</v>
      </c>
      <c r="I55" s="32">
        <v>0.5</v>
      </c>
      <c r="J55" t="s">
        <v>52</v>
      </c>
      <c r="N55" s="96"/>
      <c r="O55" s="96"/>
      <c r="P55" s="96"/>
      <c r="Q55" s="96"/>
      <c r="R55" s="96"/>
    </row>
    <row r="56" spans="2:18" ht="15" thickBot="1" x14ac:dyDescent="0.4">
      <c r="B56" s="50" t="s">
        <v>53</v>
      </c>
      <c r="C56" s="34">
        <f>AVERAGE(C52:C55)</f>
        <v>0.53749999999999998</v>
      </c>
      <c r="D56" s="102"/>
      <c r="E56" s="36">
        <f>SUM(E52:E55)</f>
        <v>0</v>
      </c>
      <c r="F56" s="37">
        <f>SUM(F52:F55)</f>
        <v>1.5000000000000002</v>
      </c>
      <c r="G56" s="37">
        <f>SUM(G52:G55)</f>
        <v>2.5</v>
      </c>
      <c r="H56" s="37">
        <f>SUM(H52:H55)</f>
        <v>3</v>
      </c>
      <c r="I56" s="38">
        <f>SUM(I52:I55)</f>
        <v>4</v>
      </c>
    </row>
    <row r="57" spans="2:18" x14ac:dyDescent="0.35">
      <c r="B57" s="6" t="s">
        <v>54</v>
      </c>
      <c r="C57" s="6"/>
      <c r="D57" s="6"/>
      <c r="E57" s="6"/>
      <c r="F57" s="6"/>
      <c r="G57" s="6"/>
      <c r="H57" s="6"/>
      <c r="I57" s="6"/>
      <c r="J57" s="6"/>
    </row>
    <row r="58" spans="2:18" x14ac:dyDescent="0.35">
      <c r="B58" t="s">
        <v>55</v>
      </c>
      <c r="C58" s="56">
        <v>0.5</v>
      </c>
      <c r="D58" s="32"/>
      <c r="E58" s="32">
        <v>0</v>
      </c>
      <c r="F58" s="32">
        <v>0.375</v>
      </c>
      <c r="G58" s="32">
        <v>0.6</v>
      </c>
      <c r="H58" s="32">
        <v>0.75</v>
      </c>
      <c r="I58" s="32">
        <v>1</v>
      </c>
      <c r="J58" t="s">
        <v>56</v>
      </c>
    </row>
    <row r="59" spans="2:18" x14ac:dyDescent="0.35">
      <c r="B59" t="s">
        <v>57</v>
      </c>
      <c r="C59" s="56">
        <v>0.6</v>
      </c>
      <c r="D59" s="32"/>
      <c r="E59" s="32">
        <v>0</v>
      </c>
      <c r="F59" s="32">
        <v>0.25</v>
      </c>
      <c r="G59" s="32">
        <v>0.36</v>
      </c>
      <c r="H59" s="32">
        <v>0.5</v>
      </c>
      <c r="I59" s="32">
        <v>0.6</v>
      </c>
      <c r="J59" t="s">
        <v>58</v>
      </c>
    </row>
    <row r="60" spans="2:18" x14ac:dyDescent="0.35">
      <c r="B60" t="s">
        <v>59</v>
      </c>
      <c r="C60" s="56">
        <v>0.65</v>
      </c>
      <c r="D60" s="32"/>
      <c r="E60" s="32">
        <v>0</v>
      </c>
      <c r="F60" s="32">
        <v>0.125</v>
      </c>
      <c r="G60" s="32">
        <v>0.18</v>
      </c>
      <c r="H60" s="32">
        <v>0.2</v>
      </c>
      <c r="I60" s="32">
        <v>0.3</v>
      </c>
      <c r="J60" t="s">
        <v>60</v>
      </c>
    </row>
    <row r="61" spans="2:18" ht="15" thickBot="1" x14ac:dyDescent="0.4">
      <c r="B61" t="s">
        <v>61</v>
      </c>
      <c r="C61" s="95">
        <v>0.75</v>
      </c>
      <c r="D61" s="32"/>
      <c r="E61" s="32">
        <v>0</v>
      </c>
      <c r="F61" s="32">
        <v>0.04</v>
      </c>
      <c r="G61" s="32">
        <v>0.06</v>
      </c>
      <c r="H61" s="32">
        <v>0.05</v>
      </c>
      <c r="I61" s="32">
        <v>0.1</v>
      </c>
      <c r="J61" t="s">
        <v>62</v>
      </c>
    </row>
    <row r="62" spans="2:18" ht="15" thickBot="1" x14ac:dyDescent="0.4">
      <c r="B62" s="50" t="s">
        <v>63</v>
      </c>
      <c r="C62" s="34">
        <f>AVERAGE(C58:C61)</f>
        <v>0.625</v>
      </c>
      <c r="D62" s="102"/>
      <c r="E62" s="36">
        <f>SUM(E58:E61)</f>
        <v>0</v>
      </c>
      <c r="F62" s="37">
        <f>SUM(F58:F61)</f>
        <v>0.79</v>
      </c>
      <c r="G62" s="37">
        <f>SUM(G58:G61)</f>
        <v>1.2</v>
      </c>
      <c r="H62" s="37">
        <f>SUM(H58:H61)</f>
        <v>1.5</v>
      </c>
      <c r="I62" s="38">
        <f>SUM(I58:I61)</f>
        <v>2</v>
      </c>
    </row>
    <row r="63" spans="2:18" ht="15" thickBot="1" x14ac:dyDescent="0.4">
      <c r="D63" s="6"/>
      <c r="E63" s="6"/>
      <c r="F63" s="6"/>
      <c r="G63" s="6"/>
      <c r="H63" s="6"/>
      <c r="I63" s="6"/>
    </row>
    <row r="64" spans="2:18" ht="15" thickBot="1" x14ac:dyDescent="0.4">
      <c r="B64" s="50" t="s">
        <v>185</v>
      </c>
      <c r="D64" s="102"/>
      <c r="E64" s="47">
        <f t="shared" ref="E64" si="5">E50*E42+E56*E35*$C56+E62*E35*$C62</f>
        <v>670480.51218750002</v>
      </c>
      <c r="F64" s="48">
        <f>F50*F42+F56*F35*$C56+F62*F35*$C62</f>
        <v>2496243.7532812501</v>
      </c>
      <c r="G64" s="48">
        <f t="shared" ref="G64:I64" si="6">G50*G42+G56*G35*$C56+G62*G35*$C62</f>
        <v>7052263.1910000024</v>
      </c>
      <c r="H64" s="48">
        <f>H50*H42+H56*H35*$C56+H62*H35*$C62</f>
        <v>14158836.885375004</v>
      </c>
      <c r="I64" s="49">
        <f t="shared" si="6"/>
        <v>23466379.725000005</v>
      </c>
    </row>
    <row r="66" spans="2:14" ht="15.5" x14ac:dyDescent="0.35">
      <c r="B66" s="122" t="s">
        <v>64</v>
      </c>
      <c r="C66" s="122"/>
      <c r="D66" s="120"/>
      <c r="E66" s="120"/>
      <c r="F66" s="120"/>
      <c r="G66" s="120"/>
      <c r="H66" s="120"/>
      <c r="I66" s="120"/>
      <c r="J66" s="120"/>
    </row>
    <row r="67" spans="2:14" x14ac:dyDescent="0.35">
      <c r="B67" s="3" t="s">
        <v>65</v>
      </c>
      <c r="C67" s="3"/>
      <c r="D67" s="17">
        <v>2026</v>
      </c>
      <c r="E67" s="17">
        <v>2027</v>
      </c>
      <c r="F67" s="17">
        <v>2028</v>
      </c>
      <c r="G67" s="17">
        <v>2029</v>
      </c>
      <c r="H67" s="17">
        <v>2030</v>
      </c>
      <c r="I67" s="17">
        <v>2031</v>
      </c>
      <c r="J67" s="3" t="s">
        <v>6</v>
      </c>
    </row>
    <row r="68" spans="2:14" x14ac:dyDescent="0.35">
      <c r="B68" s="7" t="s">
        <v>66</v>
      </c>
      <c r="C68" s="7"/>
      <c r="D68" s="7"/>
      <c r="E68" s="7"/>
      <c r="F68" s="7"/>
      <c r="G68" s="7"/>
      <c r="H68" s="7"/>
      <c r="I68" s="7"/>
      <c r="J68" s="7"/>
    </row>
    <row r="69" spans="2:14" x14ac:dyDescent="0.35">
      <c r="B69" t="s">
        <v>237</v>
      </c>
      <c r="C69" t="s">
        <v>238</v>
      </c>
      <c r="D69" s="64">
        <f>200000*6/12</f>
        <v>100000</v>
      </c>
      <c r="E69" s="64">
        <v>200000</v>
      </c>
      <c r="F69" s="64">
        <v>200000</v>
      </c>
      <c r="G69" s="64">
        <v>200000</v>
      </c>
      <c r="H69" s="64">
        <v>200000</v>
      </c>
      <c r="I69" s="64">
        <v>200000</v>
      </c>
    </row>
    <row r="70" spans="2:14" x14ac:dyDescent="0.35">
      <c r="B70" t="s">
        <v>67</v>
      </c>
      <c r="C70" t="s">
        <v>178</v>
      </c>
      <c r="D70" s="64">
        <f>317000*6/12</f>
        <v>158500</v>
      </c>
      <c r="E70" s="64">
        <f>317000*1.04</f>
        <v>329680</v>
      </c>
      <c r="F70" s="64">
        <f>E70*1.04</f>
        <v>342867.20000000001</v>
      </c>
      <c r="G70" s="64">
        <f>F70*1.04</f>
        <v>356581.88800000004</v>
      </c>
      <c r="H70" s="64">
        <f t="shared" ref="H70:I70" si="7">G70*1.04</f>
        <v>370845.16352000006</v>
      </c>
      <c r="I70" s="64">
        <f t="shared" si="7"/>
        <v>385678.97006080009</v>
      </c>
      <c r="J70" t="s">
        <v>68</v>
      </c>
    </row>
    <row r="71" spans="2:14" x14ac:dyDescent="0.35">
      <c r="B71" t="s">
        <v>69</v>
      </c>
      <c r="D71" s="64">
        <f>(100000+100000+90000)*6/12</f>
        <v>145000</v>
      </c>
      <c r="E71" s="64">
        <f>100000+100000+90000+80000</f>
        <v>370000</v>
      </c>
      <c r="F71" s="64">
        <f>100000+2*100000+90000+3*80000</f>
        <v>630000</v>
      </c>
      <c r="G71" s="64">
        <f>100000+2*100000+2*90000+6*80000</f>
        <v>960000</v>
      </c>
      <c r="H71" s="64">
        <f>100000+2*100000+3*90000+8*80000</f>
        <v>1210000</v>
      </c>
      <c r="I71" s="64">
        <f>100000+2*100000+3*90000+8*80000</f>
        <v>1210000</v>
      </c>
      <c r="J71" t="s">
        <v>248</v>
      </c>
      <c r="K71" t="s">
        <v>239</v>
      </c>
      <c r="L71" t="s">
        <v>246</v>
      </c>
      <c r="M71" t="s">
        <v>247</v>
      </c>
      <c r="N71" t="s">
        <v>245</v>
      </c>
    </row>
    <row r="72" spans="2:14" x14ac:dyDescent="0.35">
      <c r="B72" t="s">
        <v>70</v>
      </c>
      <c r="D72" s="64">
        <f>(70000+100000)*6/12</f>
        <v>85000</v>
      </c>
      <c r="E72" s="64">
        <f>(70000+100000)</f>
        <v>170000</v>
      </c>
      <c r="F72" s="64">
        <f>70000+100000</f>
        <v>170000</v>
      </c>
      <c r="G72" s="64">
        <f>70000+2*100000</f>
        <v>270000</v>
      </c>
      <c r="H72" s="64">
        <f t="shared" ref="H72:I72" si="8">70000+2*100000</f>
        <v>270000</v>
      </c>
      <c r="I72" s="64">
        <f t="shared" si="8"/>
        <v>270000</v>
      </c>
      <c r="J72" t="s">
        <v>179</v>
      </c>
      <c r="K72" t="s">
        <v>240</v>
      </c>
      <c r="L72" t="s">
        <v>241</v>
      </c>
    </row>
    <row r="73" spans="2:14" x14ac:dyDescent="0.35">
      <c r="B73" t="s">
        <v>71</v>
      </c>
      <c r="D73" s="64">
        <f>60000*6/12</f>
        <v>30000</v>
      </c>
      <c r="E73" s="64">
        <f>60000</f>
        <v>60000</v>
      </c>
      <c r="F73" s="64">
        <f>60000*2</f>
        <v>120000</v>
      </c>
      <c r="G73" s="64">
        <f>60000*3</f>
        <v>180000</v>
      </c>
      <c r="H73" s="64">
        <f>60000*5</f>
        <v>300000</v>
      </c>
      <c r="I73" s="64">
        <f>60000*5</f>
        <v>300000</v>
      </c>
      <c r="J73" t="s">
        <v>244</v>
      </c>
      <c r="K73" t="s">
        <v>242</v>
      </c>
    </row>
    <row r="74" spans="2:14" ht="15" thickBot="1" x14ac:dyDescent="0.4">
      <c r="B74" t="s">
        <v>72</v>
      </c>
      <c r="D74" s="64">
        <f>55000*6/12</f>
        <v>27500</v>
      </c>
      <c r="E74" s="64">
        <f>55000*2</f>
        <v>110000</v>
      </c>
      <c r="F74" s="64">
        <f>55000*2</f>
        <v>110000</v>
      </c>
      <c r="G74" s="64">
        <f>55000*3</f>
        <v>165000</v>
      </c>
      <c r="H74" s="64">
        <f>55000*3</f>
        <v>165000</v>
      </c>
      <c r="I74" s="64">
        <f>55000*3</f>
        <v>165000</v>
      </c>
      <c r="J74" t="s">
        <v>179</v>
      </c>
      <c r="K74" t="s">
        <v>243</v>
      </c>
    </row>
    <row r="75" spans="2:14" ht="15" thickBot="1" x14ac:dyDescent="0.4">
      <c r="B75" t="s">
        <v>73</v>
      </c>
      <c r="D75" s="39">
        <f t="shared" ref="D75:I75" si="9">SUM(D69:D74)</f>
        <v>546000</v>
      </c>
      <c r="E75" s="39">
        <f t="shared" si="9"/>
        <v>1239680</v>
      </c>
      <c r="F75" s="40">
        <f t="shared" si="9"/>
        <v>1572867.2</v>
      </c>
      <c r="G75" s="40">
        <f t="shared" si="9"/>
        <v>2131581.8880000003</v>
      </c>
      <c r="H75" s="40">
        <f t="shared" si="9"/>
        <v>2515845.1635199999</v>
      </c>
      <c r="I75" s="41">
        <f t="shared" si="9"/>
        <v>2530678.9700608002</v>
      </c>
    </row>
    <row r="76" spans="2:14" x14ac:dyDescent="0.35">
      <c r="B76" s="7" t="s">
        <v>74</v>
      </c>
      <c r="C76" s="7"/>
      <c r="D76" s="7"/>
      <c r="E76" s="7"/>
      <c r="F76" s="7"/>
      <c r="G76" s="7"/>
      <c r="H76" s="7"/>
      <c r="I76" s="7"/>
      <c r="J76" s="7"/>
    </row>
    <row r="77" spans="2:14" x14ac:dyDescent="0.35">
      <c r="B77" t="s">
        <v>75</v>
      </c>
      <c r="D77" s="30">
        <v>50000</v>
      </c>
      <c r="E77" s="30">
        <v>180000</v>
      </c>
      <c r="F77" s="30">
        <v>360000</v>
      </c>
      <c r="G77" s="30">
        <v>720000</v>
      </c>
      <c r="H77" s="30">
        <v>1200000</v>
      </c>
      <c r="I77" s="30">
        <v>1500000</v>
      </c>
      <c r="J77" t="s">
        <v>76</v>
      </c>
    </row>
    <row r="78" spans="2:14" x14ac:dyDescent="0.35">
      <c r="B78" t="s">
        <v>77</v>
      </c>
      <c r="D78" s="30">
        <v>30000</v>
      </c>
      <c r="E78" s="30">
        <v>60000</v>
      </c>
      <c r="F78" s="30">
        <v>120000</v>
      </c>
      <c r="G78" s="30">
        <v>240000</v>
      </c>
      <c r="H78" s="30">
        <v>400000</v>
      </c>
      <c r="I78" s="30">
        <v>500000</v>
      </c>
      <c r="J78" t="s">
        <v>78</v>
      </c>
    </row>
    <row r="79" spans="2:14" ht="15" thickBot="1" x14ac:dyDescent="0.4">
      <c r="B79" t="s">
        <v>79</v>
      </c>
      <c r="D79" s="30">
        <v>20000</v>
      </c>
      <c r="E79" s="30">
        <v>60000</v>
      </c>
      <c r="F79" s="30">
        <v>150000</v>
      </c>
      <c r="G79" s="30">
        <v>300000</v>
      </c>
      <c r="H79" s="30">
        <v>500000</v>
      </c>
      <c r="I79" s="30">
        <v>600000</v>
      </c>
      <c r="J79" t="s">
        <v>80</v>
      </c>
    </row>
    <row r="80" spans="2:14" ht="15" thickBot="1" x14ac:dyDescent="0.4">
      <c r="B80" t="s">
        <v>81</v>
      </c>
      <c r="D80" s="39">
        <f t="shared" ref="D80:I80" si="10">SUM(D77:D79)</f>
        <v>100000</v>
      </c>
      <c r="E80" s="39">
        <f t="shared" si="10"/>
        <v>300000</v>
      </c>
      <c r="F80" s="40">
        <f t="shared" si="10"/>
        <v>630000</v>
      </c>
      <c r="G80" s="40">
        <f t="shared" si="10"/>
        <v>1260000</v>
      </c>
      <c r="H80" s="40">
        <f t="shared" si="10"/>
        <v>2100000</v>
      </c>
      <c r="I80" s="41">
        <f t="shared" si="10"/>
        <v>2600000</v>
      </c>
    </row>
    <row r="81" spans="2:10" x14ac:dyDescent="0.35">
      <c r="B81" s="7" t="s">
        <v>82</v>
      </c>
      <c r="C81" s="7"/>
      <c r="D81" s="7"/>
      <c r="E81" s="7"/>
      <c r="F81" s="7"/>
      <c r="G81" s="7"/>
      <c r="H81" s="7"/>
      <c r="I81" s="7"/>
      <c r="J81" s="7"/>
    </row>
    <row r="82" spans="2:10" x14ac:dyDescent="0.35">
      <c r="B82" t="s">
        <v>83</v>
      </c>
      <c r="D82" s="30">
        <v>15000</v>
      </c>
      <c r="E82" s="30">
        <v>35000</v>
      </c>
      <c r="F82" s="30">
        <v>75000</v>
      </c>
      <c r="G82" s="30">
        <v>150000</v>
      </c>
      <c r="H82" s="30">
        <v>300000</v>
      </c>
      <c r="I82" s="30">
        <v>600000</v>
      </c>
      <c r="J82" t="s">
        <v>84</v>
      </c>
    </row>
    <row r="83" spans="2:10" x14ac:dyDescent="0.35">
      <c r="B83" t="s">
        <v>85</v>
      </c>
      <c r="D83" s="30">
        <v>25000</v>
      </c>
      <c r="E83" s="30">
        <v>50000</v>
      </c>
      <c r="F83" s="30">
        <v>100000</v>
      </c>
      <c r="G83" s="30">
        <v>200000</v>
      </c>
      <c r="H83" s="30">
        <v>350000</v>
      </c>
      <c r="I83" s="30">
        <v>500000</v>
      </c>
      <c r="J83" t="s">
        <v>86</v>
      </c>
    </row>
    <row r="84" spans="2:10" x14ac:dyDescent="0.35">
      <c r="B84" t="s">
        <v>87</v>
      </c>
      <c r="D84" s="30">
        <v>30000</v>
      </c>
      <c r="E84" s="30">
        <v>45000</v>
      </c>
      <c r="F84" s="30">
        <v>75000</v>
      </c>
      <c r="G84" s="30">
        <v>120000</v>
      </c>
      <c r="H84" s="30">
        <v>180000</v>
      </c>
      <c r="I84" s="30">
        <v>240000</v>
      </c>
      <c r="J84" t="s">
        <v>88</v>
      </c>
    </row>
    <row r="85" spans="2:10" x14ac:dyDescent="0.35">
      <c r="B85" t="s">
        <v>89</v>
      </c>
      <c r="D85" s="30">
        <v>40000</v>
      </c>
      <c r="E85" s="30">
        <v>60000</v>
      </c>
      <c r="F85" s="30">
        <v>100000</v>
      </c>
      <c r="G85" s="30">
        <v>150000</v>
      </c>
      <c r="H85" s="30">
        <v>200000</v>
      </c>
      <c r="I85" s="30">
        <v>250000</v>
      </c>
      <c r="J85" t="s">
        <v>90</v>
      </c>
    </row>
    <row r="86" spans="2:10" ht="15" thickBot="1" x14ac:dyDescent="0.4">
      <c r="B86" t="s">
        <v>91</v>
      </c>
      <c r="D86" s="30">
        <v>163000</v>
      </c>
      <c r="E86" s="30">
        <v>305000</v>
      </c>
      <c r="F86" s="30">
        <v>537000</v>
      </c>
      <c r="G86" s="30">
        <v>858000</v>
      </c>
      <c r="H86" s="30">
        <v>1304000</v>
      </c>
      <c r="I86" s="30">
        <v>1748000</v>
      </c>
      <c r="J86" t="s">
        <v>92</v>
      </c>
    </row>
    <row r="87" spans="2:10" ht="15" thickBot="1" x14ac:dyDescent="0.4">
      <c r="B87" t="s">
        <v>93</v>
      </c>
      <c r="D87" s="39">
        <f t="shared" ref="D87:I87" si="11">SUM(D82:D86)</f>
        <v>273000</v>
      </c>
      <c r="E87" s="39">
        <f t="shared" si="11"/>
        <v>495000</v>
      </c>
      <c r="F87" s="40">
        <f t="shared" si="11"/>
        <v>887000</v>
      </c>
      <c r="G87" s="40">
        <f t="shared" si="11"/>
        <v>1478000</v>
      </c>
      <c r="H87" s="40">
        <f t="shared" si="11"/>
        <v>2334000</v>
      </c>
      <c r="I87" s="41">
        <f t="shared" si="11"/>
        <v>3338000</v>
      </c>
    </row>
    <row r="88" spans="2:10" ht="15" thickBot="1" x14ac:dyDescent="0.4">
      <c r="D88" s="42"/>
      <c r="E88" s="103"/>
      <c r="F88" s="103"/>
      <c r="G88" s="103"/>
      <c r="H88" s="103"/>
      <c r="I88" s="103"/>
    </row>
    <row r="89" spans="2:10" ht="15" thickBot="1" x14ac:dyDescent="0.4">
      <c r="B89" t="s">
        <v>180</v>
      </c>
      <c r="D89" s="39">
        <f t="shared" ref="D89:I89" si="12">D75+D80+D87</f>
        <v>919000</v>
      </c>
      <c r="E89" s="39">
        <f t="shared" si="12"/>
        <v>2034680</v>
      </c>
      <c r="F89" s="40">
        <f t="shared" si="12"/>
        <v>3089867.2</v>
      </c>
      <c r="G89" s="40">
        <f t="shared" si="12"/>
        <v>4869581.8880000003</v>
      </c>
      <c r="H89" s="40">
        <f t="shared" si="12"/>
        <v>6949845.1635199999</v>
      </c>
      <c r="I89" s="41">
        <f t="shared" si="12"/>
        <v>8468678.9700607993</v>
      </c>
    </row>
    <row r="90" spans="2:10" ht="15" thickBot="1" x14ac:dyDescent="0.4">
      <c r="D90" s="42"/>
      <c r="E90" s="42"/>
      <c r="F90" s="42"/>
      <c r="G90" s="42"/>
      <c r="H90" s="42"/>
      <c r="I90" s="42"/>
    </row>
    <row r="91" spans="2:10" ht="15" thickBot="1" x14ac:dyDescent="0.4">
      <c r="B91" t="s">
        <v>181</v>
      </c>
      <c r="D91" s="39">
        <f>D64-D89</f>
        <v>-919000</v>
      </c>
      <c r="E91" s="39">
        <f>E64-E89</f>
        <v>-1364199.4878125</v>
      </c>
      <c r="F91" s="40">
        <f t="shared" ref="F91:I91" si="13">F64-F89</f>
        <v>-593623.44671875006</v>
      </c>
      <c r="G91" s="40">
        <f t="shared" si="13"/>
        <v>2182681.3030000022</v>
      </c>
      <c r="H91" s="40">
        <f t="shared" si="13"/>
        <v>7208991.7218550043</v>
      </c>
      <c r="I91" s="41">
        <f t="shared" si="13"/>
        <v>14997700.754939206</v>
      </c>
    </row>
    <row r="92" spans="2:10" ht="15" thickBot="1" x14ac:dyDescent="0.4">
      <c r="B92" t="s">
        <v>182</v>
      </c>
      <c r="D92" s="39">
        <f>D91</f>
        <v>-919000</v>
      </c>
      <c r="E92" s="40">
        <f>D92+E91</f>
        <v>-2283199.4878125</v>
      </c>
      <c r="F92" s="40">
        <f>E92+F91</f>
        <v>-2876822.93453125</v>
      </c>
      <c r="G92" s="40">
        <f t="shared" ref="G92:I92" si="14">F92+G91</f>
        <v>-694141.63153124787</v>
      </c>
      <c r="H92" s="40">
        <f t="shared" si="14"/>
        <v>6514850.0903237564</v>
      </c>
      <c r="I92" s="41">
        <f t="shared" si="14"/>
        <v>21512550.845262963</v>
      </c>
    </row>
    <row r="94" spans="2:10" ht="15.5" x14ac:dyDescent="0.35">
      <c r="B94" s="119" t="s">
        <v>94</v>
      </c>
      <c r="C94" s="119"/>
      <c r="D94" s="120"/>
      <c r="E94" s="120"/>
      <c r="F94" s="120"/>
      <c r="G94" s="120"/>
      <c r="H94" s="120"/>
      <c r="I94" s="120"/>
      <c r="J94" s="120"/>
    </row>
    <row r="95" spans="2:10" x14ac:dyDescent="0.35">
      <c r="B95" s="3" t="s">
        <v>95</v>
      </c>
      <c r="C95" s="3"/>
      <c r="D95" s="17">
        <v>2026</v>
      </c>
      <c r="E95" s="17">
        <v>2027</v>
      </c>
      <c r="F95" s="17">
        <v>2028</v>
      </c>
      <c r="G95" s="17">
        <v>2029</v>
      </c>
      <c r="H95" s="17">
        <v>2030</v>
      </c>
      <c r="I95" s="17">
        <v>2031</v>
      </c>
      <c r="J95" s="3" t="s">
        <v>6</v>
      </c>
    </row>
    <row r="96" spans="2:10" x14ac:dyDescent="0.35">
      <c r="B96" t="s">
        <v>96</v>
      </c>
      <c r="D96" s="30">
        <v>1800000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t="s">
        <v>262</v>
      </c>
    </row>
    <row r="97" spans="2:10" x14ac:dyDescent="0.35">
      <c r="B97" t="s">
        <v>97</v>
      </c>
      <c r="C97" t="s">
        <v>99</v>
      </c>
      <c r="D97" s="30">
        <v>0</v>
      </c>
      <c r="E97" s="30">
        <v>2000000</v>
      </c>
      <c r="F97" s="30">
        <v>0</v>
      </c>
      <c r="G97" s="30">
        <v>0</v>
      </c>
      <c r="H97" s="30">
        <v>0</v>
      </c>
      <c r="I97" s="30">
        <v>0</v>
      </c>
      <c r="J97" t="s">
        <v>98</v>
      </c>
    </row>
    <row r="98" spans="2:10" x14ac:dyDescent="0.35">
      <c r="B98" t="s">
        <v>192</v>
      </c>
      <c r="D98" s="30">
        <f t="shared" ref="D98:I98" si="15">D96+D97</f>
        <v>1800000</v>
      </c>
      <c r="E98" s="30">
        <f>E96+E97</f>
        <v>2000000</v>
      </c>
      <c r="F98" s="30">
        <f t="shared" si="15"/>
        <v>0</v>
      </c>
      <c r="G98" s="30">
        <f t="shared" si="15"/>
        <v>0</v>
      </c>
      <c r="H98" s="30">
        <f t="shared" si="15"/>
        <v>0</v>
      </c>
      <c r="I98" s="30">
        <f t="shared" si="15"/>
        <v>0</v>
      </c>
    </row>
    <row r="99" spans="2:10" x14ac:dyDescent="0.35">
      <c r="B99" t="s">
        <v>194</v>
      </c>
      <c r="D99" s="53">
        <f>D98</f>
        <v>1800000</v>
      </c>
      <c r="E99" s="53">
        <f>D99+E98</f>
        <v>3800000</v>
      </c>
      <c r="F99" s="53">
        <f>E99+F98</f>
        <v>3800000</v>
      </c>
      <c r="G99" s="53">
        <f t="shared" ref="G99:I99" si="16">F99+G98</f>
        <v>3800000</v>
      </c>
      <c r="H99" s="53">
        <f t="shared" si="16"/>
        <v>3800000</v>
      </c>
      <c r="I99" s="53">
        <f t="shared" si="16"/>
        <v>3800000</v>
      </c>
    </row>
    <row r="100" spans="2:10" x14ac:dyDescent="0.35">
      <c r="D100" s="53"/>
      <c r="E100" s="53"/>
      <c r="F100" s="53"/>
      <c r="G100" s="53"/>
      <c r="H100" s="53"/>
      <c r="I100" s="53"/>
    </row>
    <row r="101" spans="2:10" x14ac:dyDescent="0.35">
      <c r="B101" t="s">
        <v>100</v>
      </c>
      <c r="D101" s="30"/>
      <c r="E101" s="30">
        <v>0</v>
      </c>
      <c r="F101" s="30">
        <v>4000000</v>
      </c>
      <c r="G101" s="30">
        <v>0</v>
      </c>
      <c r="H101" s="30">
        <v>0</v>
      </c>
      <c r="I101" s="30">
        <v>0</v>
      </c>
      <c r="J101" t="s">
        <v>264</v>
      </c>
    </row>
    <row r="102" spans="2:10" x14ac:dyDescent="0.35">
      <c r="B102" t="s">
        <v>101</v>
      </c>
      <c r="D102" s="30">
        <f>D96+D97+D101</f>
        <v>1800000</v>
      </c>
      <c r="E102" s="30">
        <f t="shared" ref="E102:I102" si="17">E96+E97+E101</f>
        <v>2000000</v>
      </c>
      <c r="F102" s="30">
        <f t="shared" si="17"/>
        <v>4000000</v>
      </c>
      <c r="G102" s="30">
        <f t="shared" si="17"/>
        <v>0</v>
      </c>
      <c r="H102" s="30">
        <f t="shared" si="17"/>
        <v>0</v>
      </c>
      <c r="I102" s="30">
        <f t="shared" si="17"/>
        <v>0</v>
      </c>
      <c r="J102" t="s">
        <v>102</v>
      </c>
    </row>
    <row r="103" spans="2:10" x14ac:dyDescent="0.35">
      <c r="B103" t="s">
        <v>193</v>
      </c>
      <c r="D103" s="53">
        <f>D102</f>
        <v>1800000</v>
      </c>
      <c r="E103" s="53">
        <f>D103+E102</f>
        <v>3800000</v>
      </c>
      <c r="F103" s="53">
        <f t="shared" ref="F103:I103" si="18">E103+F102</f>
        <v>7800000</v>
      </c>
      <c r="G103" s="53">
        <f t="shared" si="18"/>
        <v>7800000</v>
      </c>
      <c r="H103" s="53">
        <f t="shared" si="18"/>
        <v>7800000</v>
      </c>
      <c r="I103" s="53">
        <f t="shared" si="18"/>
        <v>7800000</v>
      </c>
    </row>
  </sheetData>
  <mergeCells count="7">
    <mergeCell ref="B94:J94"/>
    <mergeCell ref="B22:J22"/>
    <mergeCell ref="B6:J6"/>
    <mergeCell ref="B66:J66"/>
    <mergeCell ref="B15:J15"/>
    <mergeCell ref="B28:J28"/>
    <mergeCell ref="B44:J44"/>
  </mergeCells>
  <pageMargins left="0.75" right="0.75" top="1" bottom="1" header="0.5" footer="0.5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F794-078D-47A4-AD1A-ECC2A1DDC579}">
  <sheetPr>
    <tabColor rgb="FFF59E0B"/>
  </sheetPr>
  <dimension ref="B2:H43"/>
  <sheetViews>
    <sheetView topLeftCell="A18" zoomScale="130" zoomScaleNormal="130" workbookViewId="0">
      <selection activeCell="H11" sqref="H11"/>
    </sheetView>
  </sheetViews>
  <sheetFormatPr baseColWidth="10" defaultColWidth="8.7265625" defaultRowHeight="14.5" x14ac:dyDescent="0.35"/>
  <cols>
    <col min="1" max="1" width="2" customWidth="1"/>
    <col min="2" max="2" width="31.36328125" customWidth="1"/>
    <col min="3" max="8" width="14" customWidth="1"/>
  </cols>
  <sheetData>
    <row r="2" spans="2:8" ht="23.5" x14ac:dyDescent="0.55000000000000004">
      <c r="B2" s="1" t="s">
        <v>115</v>
      </c>
    </row>
    <row r="3" spans="2:8" x14ac:dyDescent="0.35">
      <c r="B3" s="16" t="s">
        <v>104</v>
      </c>
    </row>
    <row r="5" spans="2:8" ht="15.5" x14ac:dyDescent="0.35">
      <c r="B5" s="124" t="s">
        <v>116</v>
      </c>
      <c r="C5" s="124"/>
      <c r="D5" s="120"/>
      <c r="E5" s="120"/>
      <c r="F5" s="120"/>
      <c r="G5" s="120"/>
      <c r="H5" s="120"/>
    </row>
    <row r="6" spans="2:8" x14ac:dyDescent="0.35">
      <c r="B6" s="17"/>
      <c r="C6" s="18">
        <v>2026</v>
      </c>
      <c r="D6" s="18">
        <v>2027</v>
      </c>
      <c r="E6" s="18">
        <v>2028</v>
      </c>
      <c r="F6" s="18">
        <v>2029</v>
      </c>
      <c r="G6" s="18">
        <v>2030</v>
      </c>
      <c r="H6" s="18">
        <v>2031</v>
      </c>
    </row>
    <row r="7" spans="2:8" x14ac:dyDescent="0.35">
      <c r="B7" s="11" t="s">
        <v>117</v>
      </c>
      <c r="C7" s="28">
        <f>InputsDetails!D31</f>
        <v>0</v>
      </c>
      <c r="D7" s="28">
        <f>InputsDetails!E31</f>
        <v>59484.375000000007</v>
      </c>
      <c r="E7" s="28">
        <f>InputsDetails!F31</f>
        <v>35250.000000000007</v>
      </c>
      <c r="F7" s="28">
        <f>InputsDetails!G31</f>
        <v>55801.136363636375</v>
      </c>
      <c r="G7" s="28">
        <f>InputsDetails!H31</f>
        <v>72886.363636363647</v>
      </c>
      <c r="H7" s="28">
        <f>InputsDetails!I31</f>
        <v>68340.909090909103</v>
      </c>
    </row>
    <row r="8" spans="2:8" x14ac:dyDescent="0.35">
      <c r="B8" s="11" t="s">
        <v>118</v>
      </c>
      <c r="C8" s="28">
        <f>InputsDetails!D32</f>
        <v>0</v>
      </c>
      <c r="D8" s="28">
        <f>InputsDetails!E32</f>
        <v>59484.375000000007</v>
      </c>
      <c r="E8" s="28">
        <f>InputsDetails!F32</f>
        <v>123375.00000000003</v>
      </c>
      <c r="F8" s="28">
        <f>InputsDetails!G32</f>
        <v>251105.11363636368</v>
      </c>
      <c r="G8" s="28">
        <f>InputsDetails!H32</f>
        <v>327988.63636363641</v>
      </c>
      <c r="H8" s="28">
        <f>InputsDetails!I32</f>
        <v>307534.09090909094</v>
      </c>
    </row>
    <row r="9" spans="2:8" x14ac:dyDescent="0.35">
      <c r="B9" s="5" t="s">
        <v>23</v>
      </c>
      <c r="C9" s="28">
        <f>InputsDetails!D33</f>
        <v>0</v>
      </c>
      <c r="D9" s="28">
        <f>InputsDetails!E33</f>
        <v>0</v>
      </c>
      <c r="E9" s="28">
        <f>InputsDetails!F33</f>
        <v>0</v>
      </c>
      <c r="F9" s="28">
        <f>InputsDetails!G33</f>
        <v>50000</v>
      </c>
      <c r="G9" s="28">
        <f>InputsDetails!H33</f>
        <v>75000</v>
      </c>
      <c r="H9" s="28">
        <f>InputsDetails!I33</f>
        <v>100000</v>
      </c>
    </row>
    <row r="10" spans="2:8" x14ac:dyDescent="0.35">
      <c r="B10" s="11" t="s">
        <v>25</v>
      </c>
      <c r="C10" s="29">
        <f>SUM(C7:C9)</f>
        <v>0</v>
      </c>
      <c r="D10" s="29">
        <f>SUM(D7:D9)</f>
        <v>118968.75000000001</v>
      </c>
      <c r="E10" s="29">
        <f t="shared" ref="E10:G10" si="0">SUM(E7:E9)</f>
        <v>158625.00000000003</v>
      </c>
      <c r="F10" s="29">
        <f t="shared" si="0"/>
        <v>356906.25000000006</v>
      </c>
      <c r="G10" s="29">
        <f t="shared" si="0"/>
        <v>475875.00000000006</v>
      </c>
      <c r="H10" s="29">
        <f>SUM(H7:H9)</f>
        <v>475875.00000000006</v>
      </c>
    </row>
    <row r="11" spans="2:8" x14ac:dyDescent="0.35">
      <c r="B11" s="11" t="s">
        <v>26</v>
      </c>
      <c r="C11" s="28">
        <f>C10</f>
        <v>0</v>
      </c>
      <c r="D11" s="28">
        <f>C11+D10</f>
        <v>118968.75000000001</v>
      </c>
      <c r="E11" s="28">
        <f>D11+E10</f>
        <v>277593.75000000006</v>
      </c>
      <c r="F11" s="28">
        <f t="shared" ref="F11:H11" si="1">E11+F10</f>
        <v>634500.00000000012</v>
      </c>
      <c r="G11" s="28">
        <f t="shared" si="1"/>
        <v>1110375.0000000002</v>
      </c>
      <c r="H11" s="28">
        <f t="shared" si="1"/>
        <v>1586250.0000000002</v>
      </c>
    </row>
    <row r="12" spans="2:8" x14ac:dyDescent="0.35">
      <c r="B12" s="11" t="s">
        <v>30</v>
      </c>
      <c r="C12" s="19">
        <f>InputsDetails!D38</f>
        <v>0</v>
      </c>
      <c r="D12" s="19">
        <f>InputsDetails!E38</f>
        <v>0.15</v>
      </c>
      <c r="E12" s="19">
        <f>InputsDetails!F38</f>
        <v>0.18</v>
      </c>
      <c r="F12" s="19">
        <f>InputsDetails!G38</f>
        <v>0.2</v>
      </c>
      <c r="G12" s="19">
        <f>InputsDetails!H38</f>
        <v>0.22500000000000001</v>
      </c>
      <c r="H12" s="19">
        <f>InputsDetails!I38</f>
        <v>0.25</v>
      </c>
    </row>
    <row r="13" spans="2:8" x14ac:dyDescent="0.35">
      <c r="B13" s="11" t="s">
        <v>183</v>
      </c>
      <c r="C13" s="19">
        <f>InputsDetails!D41</f>
        <v>0.06</v>
      </c>
      <c r="D13" s="19">
        <f>InputsDetails!E41</f>
        <v>0.06</v>
      </c>
      <c r="E13" s="19">
        <f>InputsDetails!F41</f>
        <v>0.05</v>
      </c>
      <c r="F13" s="19">
        <f>InputsDetails!G41</f>
        <v>0.04</v>
      </c>
      <c r="G13" s="19">
        <f>InputsDetails!H41</f>
        <v>3.5000000000000003E-2</v>
      </c>
      <c r="H13" s="19">
        <f>InputsDetails!I41</f>
        <v>0.03</v>
      </c>
    </row>
    <row r="14" spans="2:8" x14ac:dyDescent="0.35">
      <c r="B14" s="11" t="s">
        <v>198</v>
      </c>
      <c r="C14" s="29">
        <f>InputsDetails!D42</f>
        <v>0</v>
      </c>
      <c r="D14" s="29">
        <f>InputsDetails!E42</f>
        <v>16774.59375</v>
      </c>
      <c r="E14" s="29">
        <f>InputsDetails!F42</f>
        <v>47468.531250000007</v>
      </c>
      <c r="F14" s="29">
        <f>InputsDetails!G42</f>
        <v>121824.00000000003</v>
      </c>
      <c r="G14" s="29">
        <f>InputsDetails!H42</f>
        <v>241090.17187500006</v>
      </c>
      <c r="H14" s="29">
        <f>InputsDetails!I42</f>
        <v>384665.62500000006</v>
      </c>
    </row>
    <row r="15" spans="2:8" x14ac:dyDescent="0.35">
      <c r="B15" s="11" t="s">
        <v>197</v>
      </c>
      <c r="C15" s="28">
        <f>C14</f>
        <v>0</v>
      </c>
      <c r="D15" s="28">
        <f>C15+D14</f>
        <v>16774.59375</v>
      </c>
      <c r="E15" s="28">
        <f>D15+E14</f>
        <v>64243.125000000007</v>
      </c>
      <c r="F15" s="28">
        <f t="shared" ref="F15" si="2">E15+F14</f>
        <v>186067.12500000003</v>
      </c>
      <c r="G15" s="28">
        <f t="shared" ref="G15" si="3">F15+G14</f>
        <v>427157.29687500012</v>
      </c>
      <c r="H15" s="28">
        <f t="shared" ref="H15" si="4">G15+H14</f>
        <v>811822.92187500023</v>
      </c>
    </row>
    <row r="17" spans="2:8" ht="15.5" x14ac:dyDescent="0.35">
      <c r="B17" s="125" t="s">
        <v>119</v>
      </c>
      <c r="C17" s="126"/>
      <c r="D17" s="120"/>
      <c r="E17" s="120"/>
      <c r="F17" s="120"/>
      <c r="G17" s="120"/>
      <c r="H17" s="120"/>
    </row>
    <row r="18" spans="2:8" x14ac:dyDescent="0.35">
      <c r="B18" s="17"/>
      <c r="C18" s="18">
        <v>2026</v>
      </c>
      <c r="D18" s="18">
        <v>2027</v>
      </c>
      <c r="E18" s="18">
        <v>2028</v>
      </c>
      <c r="F18" s="18">
        <v>2029</v>
      </c>
      <c r="G18" s="18">
        <v>2030</v>
      </c>
      <c r="H18" s="18">
        <v>2031</v>
      </c>
    </row>
    <row r="19" spans="2:8" x14ac:dyDescent="0.35">
      <c r="B19" s="20" t="s">
        <v>120</v>
      </c>
      <c r="C19" s="4"/>
      <c r="D19" s="4"/>
      <c r="E19" s="4"/>
      <c r="F19" s="4"/>
      <c r="G19" s="4"/>
      <c r="H19" s="4"/>
    </row>
    <row r="20" spans="2:8" x14ac:dyDescent="0.35">
      <c r="B20" s="11" t="s">
        <v>40</v>
      </c>
      <c r="C20" s="27">
        <f>InputsDetails!D47</f>
        <v>0</v>
      </c>
      <c r="D20" s="27">
        <f>InputsDetails!E47</f>
        <v>39.97</v>
      </c>
      <c r="E20" s="27">
        <f>InputsDetails!F47</f>
        <v>39.99</v>
      </c>
      <c r="F20" s="27">
        <f>InputsDetails!G47</f>
        <v>39.99</v>
      </c>
      <c r="G20" s="27">
        <f>InputsDetails!H47</f>
        <v>39.99</v>
      </c>
      <c r="H20" s="27">
        <f>InputsDetails!I47</f>
        <v>39.99</v>
      </c>
    </row>
    <row r="21" spans="2:8" x14ac:dyDescent="0.35">
      <c r="B21" s="11" t="s">
        <v>175</v>
      </c>
      <c r="C21" s="27">
        <f>InputsDetails!D48</f>
        <v>0</v>
      </c>
      <c r="D21" s="27" t="str">
        <f>InputsDetails!E48</f>
        <v>n/a</v>
      </c>
      <c r="E21" s="27">
        <f>InputsDetails!F48</f>
        <v>59.97</v>
      </c>
      <c r="F21" s="27">
        <f>InputsDetails!G48</f>
        <v>59.97</v>
      </c>
      <c r="G21" s="27">
        <f>InputsDetails!H48</f>
        <v>59.97</v>
      </c>
      <c r="H21" s="27">
        <f>InputsDetails!I48</f>
        <v>59.97</v>
      </c>
    </row>
    <row r="22" spans="2:8" x14ac:dyDescent="0.35">
      <c r="B22" s="11" t="s">
        <v>176</v>
      </c>
      <c r="C22" s="27">
        <f>InputsDetails!D49</f>
        <v>0</v>
      </c>
      <c r="D22" s="27" t="str">
        <f>InputsDetails!E49</f>
        <v>n/a</v>
      </c>
      <c r="E22" s="27" t="str">
        <f>InputsDetails!F49</f>
        <v>n/a</v>
      </c>
      <c r="F22" s="27">
        <f>InputsDetails!G49</f>
        <v>79.97</v>
      </c>
      <c r="G22" s="27">
        <f>InputsDetails!H49</f>
        <v>79.97</v>
      </c>
      <c r="H22" s="27">
        <f>InputsDetails!I49</f>
        <v>79.97</v>
      </c>
    </row>
    <row r="23" spans="2:8" x14ac:dyDescent="0.35">
      <c r="B23" s="11" t="s">
        <v>121</v>
      </c>
      <c r="C23" s="27">
        <f>InputsDetails!D50</f>
        <v>0</v>
      </c>
      <c r="D23" s="27">
        <f>InputsDetails!E50</f>
        <v>39.97</v>
      </c>
      <c r="E23" s="27">
        <f>InputsDetails!F50</f>
        <v>44.984999999999999</v>
      </c>
      <c r="F23" s="27">
        <f>InputsDetails!G50</f>
        <v>46.984000000000009</v>
      </c>
      <c r="G23" s="27">
        <f>InputsDetails!H50</f>
        <v>46.984000000000009</v>
      </c>
      <c r="H23" s="27">
        <f>InputsDetails!I50</f>
        <v>46.984000000000009</v>
      </c>
    </row>
    <row r="24" spans="2:8" x14ac:dyDescent="0.35">
      <c r="B24" s="20" t="s">
        <v>44</v>
      </c>
      <c r="C24" s="4"/>
      <c r="D24" s="4"/>
      <c r="E24" s="4"/>
      <c r="F24" s="4"/>
      <c r="G24" s="4"/>
      <c r="H24" s="4"/>
    </row>
    <row r="25" spans="2:8" x14ac:dyDescent="0.35">
      <c r="B25" s="11" t="s">
        <v>122</v>
      </c>
      <c r="C25" s="27">
        <f>InputsDetails!D56</f>
        <v>0</v>
      </c>
      <c r="D25" s="27">
        <f>InputsDetails!E56</f>
        <v>0</v>
      </c>
      <c r="E25" s="27">
        <f>InputsDetails!F56</f>
        <v>1.5000000000000002</v>
      </c>
      <c r="F25" s="27">
        <f>InputsDetails!G56</f>
        <v>2.5</v>
      </c>
      <c r="G25" s="27">
        <f>InputsDetails!H56</f>
        <v>3</v>
      </c>
      <c r="H25" s="27">
        <f>InputsDetails!I56</f>
        <v>4</v>
      </c>
    </row>
    <row r="26" spans="2:8" x14ac:dyDescent="0.35">
      <c r="B26" s="20" t="s">
        <v>123</v>
      </c>
      <c r="C26" s="4"/>
      <c r="D26" s="4"/>
      <c r="E26" s="4"/>
      <c r="F26" s="4"/>
      <c r="G26" s="4"/>
      <c r="H26" s="4"/>
    </row>
    <row r="27" spans="2:8" x14ac:dyDescent="0.35">
      <c r="B27" s="11" t="s">
        <v>124</v>
      </c>
      <c r="C27" s="27">
        <f>InputsDetails!D62</f>
        <v>0</v>
      </c>
      <c r="D27" s="27">
        <f>InputsDetails!E62</f>
        <v>0</v>
      </c>
      <c r="E27" s="27">
        <f>InputsDetails!F62</f>
        <v>0.79</v>
      </c>
      <c r="F27" s="27">
        <f>InputsDetails!G62</f>
        <v>1.2</v>
      </c>
      <c r="G27" s="27">
        <f>InputsDetails!H62</f>
        <v>1.5</v>
      </c>
      <c r="H27" s="27">
        <f>InputsDetails!I62</f>
        <v>2</v>
      </c>
    </row>
    <row r="28" spans="2:8" x14ac:dyDescent="0.35">
      <c r="B28" s="5"/>
      <c r="C28" s="4"/>
      <c r="D28" s="4"/>
      <c r="E28" s="4"/>
      <c r="F28" s="4"/>
      <c r="G28" s="4"/>
      <c r="H28" s="4"/>
    </row>
    <row r="29" spans="2:8" x14ac:dyDescent="0.35">
      <c r="B29" s="51" t="s">
        <v>186</v>
      </c>
      <c r="C29" s="43">
        <f>InputsDetails!D64</f>
        <v>0</v>
      </c>
      <c r="D29" s="43">
        <f>InputsDetails!E64</f>
        <v>670480.51218750002</v>
      </c>
      <c r="E29" s="43">
        <f>InputsDetails!F64</f>
        <v>2496243.7532812501</v>
      </c>
      <c r="F29" s="43">
        <f>InputsDetails!G64</f>
        <v>7052263.1910000024</v>
      </c>
      <c r="G29" s="43">
        <f>InputsDetails!H64</f>
        <v>14158836.885375004</v>
      </c>
      <c r="H29" s="43">
        <f>InputsDetails!I64</f>
        <v>23466379.725000005</v>
      </c>
    </row>
    <row r="31" spans="2:8" ht="15.5" x14ac:dyDescent="0.35">
      <c r="B31" s="127" t="s">
        <v>125</v>
      </c>
      <c r="C31" s="128"/>
      <c r="D31" s="120"/>
      <c r="E31" s="120"/>
      <c r="F31" s="120"/>
      <c r="G31" s="120"/>
      <c r="H31" s="120"/>
    </row>
    <row r="32" spans="2:8" x14ac:dyDescent="0.35">
      <c r="B32" s="17"/>
      <c r="C32" s="18">
        <v>2026</v>
      </c>
      <c r="D32" s="18">
        <v>2027</v>
      </c>
      <c r="E32" s="18">
        <v>2028</v>
      </c>
      <c r="F32" s="18">
        <v>2029</v>
      </c>
      <c r="G32" s="18">
        <v>2030</v>
      </c>
      <c r="H32" s="18">
        <v>2031</v>
      </c>
    </row>
    <row r="33" spans="2:8" x14ac:dyDescent="0.35">
      <c r="B33" s="11" t="s">
        <v>126</v>
      </c>
      <c r="C33" s="28">
        <f>InputsDetails!D80</f>
        <v>100000</v>
      </c>
      <c r="D33" s="28">
        <f>InputsDetails!E80</f>
        <v>300000</v>
      </c>
      <c r="E33" s="28">
        <f>InputsDetails!F80</f>
        <v>630000</v>
      </c>
      <c r="F33" s="28">
        <f>InputsDetails!G80</f>
        <v>1260000</v>
      </c>
      <c r="G33" s="28">
        <f>InputsDetails!H80</f>
        <v>2100000</v>
      </c>
      <c r="H33" s="28">
        <f>InputsDetails!I80</f>
        <v>2600000</v>
      </c>
    </row>
    <row r="34" spans="2:8" x14ac:dyDescent="0.35">
      <c r="B34" s="11" t="s">
        <v>127</v>
      </c>
      <c r="C34" s="28">
        <f>InputsDetails!D75</f>
        <v>546000</v>
      </c>
      <c r="D34" s="28">
        <f>InputsDetails!E75</f>
        <v>1239680</v>
      </c>
      <c r="E34" s="28">
        <f>InputsDetails!F75</f>
        <v>1572867.2</v>
      </c>
      <c r="F34" s="28">
        <f>InputsDetails!G75</f>
        <v>2131581.8880000003</v>
      </c>
      <c r="G34" s="28">
        <f>InputsDetails!H75</f>
        <v>2515845.1635199999</v>
      </c>
      <c r="H34" s="28">
        <f>InputsDetails!I75</f>
        <v>2530678.9700608002</v>
      </c>
    </row>
    <row r="35" spans="2:8" x14ac:dyDescent="0.35">
      <c r="B35" s="11" t="s">
        <v>128</v>
      </c>
      <c r="C35" s="28">
        <f>InputsDetails!D82</f>
        <v>15000</v>
      </c>
      <c r="D35" s="28">
        <f>InputsDetails!E82</f>
        <v>35000</v>
      </c>
      <c r="E35" s="28">
        <f>InputsDetails!F82</f>
        <v>75000</v>
      </c>
      <c r="F35" s="28">
        <f>InputsDetails!G82</f>
        <v>150000</v>
      </c>
      <c r="G35" s="28">
        <f>InputsDetails!H82</f>
        <v>300000</v>
      </c>
      <c r="H35" s="28">
        <f>InputsDetails!I82</f>
        <v>600000</v>
      </c>
    </row>
    <row r="36" spans="2:8" x14ac:dyDescent="0.35">
      <c r="B36" s="11" t="s">
        <v>129</v>
      </c>
      <c r="C36" s="28">
        <f>InputsDetails!D83</f>
        <v>25000</v>
      </c>
      <c r="D36" s="28">
        <f>InputsDetails!E83</f>
        <v>50000</v>
      </c>
      <c r="E36" s="28">
        <f>InputsDetails!F83</f>
        <v>100000</v>
      </c>
      <c r="F36" s="28">
        <f>InputsDetails!G83</f>
        <v>200000</v>
      </c>
      <c r="G36" s="28">
        <f>InputsDetails!H83</f>
        <v>350000</v>
      </c>
      <c r="H36" s="28">
        <f>InputsDetails!I83</f>
        <v>500000</v>
      </c>
    </row>
    <row r="37" spans="2:8" x14ac:dyDescent="0.35">
      <c r="B37" s="11" t="s">
        <v>184</v>
      </c>
      <c r="C37" s="28">
        <f>InputsDetails!D84</f>
        <v>30000</v>
      </c>
      <c r="D37" s="28">
        <f>InputsDetails!E84</f>
        <v>45000</v>
      </c>
      <c r="E37" s="28">
        <f>InputsDetails!F84</f>
        <v>75000</v>
      </c>
      <c r="F37" s="28">
        <f>InputsDetails!G84</f>
        <v>120000</v>
      </c>
      <c r="G37" s="28">
        <f>InputsDetails!H84</f>
        <v>180000</v>
      </c>
      <c r="H37" s="28">
        <f>InputsDetails!I84</f>
        <v>240000</v>
      </c>
    </row>
    <row r="38" spans="2:8" x14ac:dyDescent="0.35">
      <c r="B38" s="11" t="s">
        <v>130</v>
      </c>
      <c r="C38" s="28">
        <f>InputsDetails!D85</f>
        <v>40000</v>
      </c>
      <c r="D38" s="28">
        <f>InputsDetails!E85</f>
        <v>60000</v>
      </c>
      <c r="E38" s="28">
        <f>InputsDetails!F85</f>
        <v>100000</v>
      </c>
      <c r="F38" s="28">
        <f>InputsDetails!G85</f>
        <v>150000</v>
      </c>
      <c r="G38" s="28">
        <f>InputsDetails!H85</f>
        <v>200000</v>
      </c>
      <c r="H38" s="28">
        <f>InputsDetails!I85</f>
        <v>250000</v>
      </c>
    </row>
    <row r="39" spans="2:8" x14ac:dyDescent="0.35">
      <c r="B39" s="11" t="s">
        <v>131</v>
      </c>
      <c r="C39" s="28">
        <f>InputsDetails!D86</f>
        <v>163000</v>
      </c>
      <c r="D39" s="28">
        <f>InputsDetails!E86</f>
        <v>305000</v>
      </c>
      <c r="E39" s="28">
        <f>InputsDetails!F86</f>
        <v>537000</v>
      </c>
      <c r="F39" s="28">
        <f>InputsDetails!G86</f>
        <v>858000</v>
      </c>
      <c r="G39" s="28">
        <f>InputsDetails!H86</f>
        <v>1304000</v>
      </c>
      <c r="H39" s="28">
        <f>InputsDetails!I86</f>
        <v>1748000</v>
      </c>
    </row>
    <row r="40" spans="2:8" x14ac:dyDescent="0.35">
      <c r="B40" s="21" t="s">
        <v>132</v>
      </c>
      <c r="C40" s="29">
        <f t="shared" ref="C40:H40" si="5">SUM(C33:C39)</f>
        <v>919000</v>
      </c>
      <c r="D40" s="29">
        <f t="shared" si="5"/>
        <v>2034680</v>
      </c>
      <c r="E40" s="29">
        <f t="shared" si="5"/>
        <v>3089867.2</v>
      </c>
      <c r="F40" s="29">
        <f t="shared" si="5"/>
        <v>4869581.8880000003</v>
      </c>
      <c r="G40" s="29">
        <f t="shared" si="5"/>
        <v>6949845.1635199999</v>
      </c>
      <c r="H40" s="29">
        <f t="shared" si="5"/>
        <v>8468678.9700607993</v>
      </c>
    </row>
    <row r="42" spans="2:8" x14ac:dyDescent="0.35">
      <c r="B42" s="51" t="s">
        <v>187</v>
      </c>
      <c r="C42" s="31">
        <f>InputsDetails!D91</f>
        <v>-919000</v>
      </c>
      <c r="D42" s="31">
        <f>InputsDetails!E91</f>
        <v>-1364199.4878125</v>
      </c>
      <c r="E42" s="31">
        <f>InputsDetails!F91</f>
        <v>-593623.44671875006</v>
      </c>
      <c r="F42" s="31">
        <f>InputsDetails!G91</f>
        <v>2182681.3030000022</v>
      </c>
      <c r="G42" s="31">
        <f>InputsDetails!H91</f>
        <v>7208991.7218550043</v>
      </c>
      <c r="H42" s="31">
        <f>InputsDetails!I91</f>
        <v>14997700.754939206</v>
      </c>
    </row>
    <row r="43" spans="2:8" x14ac:dyDescent="0.35">
      <c r="B43" s="51" t="s">
        <v>188</v>
      </c>
      <c r="C43" s="31">
        <f>InputsDetails!D92</f>
        <v>-919000</v>
      </c>
      <c r="D43" s="31">
        <f>InputsDetails!E92</f>
        <v>-2283199.4878125</v>
      </c>
      <c r="E43" s="31">
        <f>InputsDetails!F92</f>
        <v>-2876822.93453125</v>
      </c>
      <c r="F43" s="31">
        <f>InputsDetails!G92</f>
        <v>-694141.63153124787</v>
      </c>
      <c r="G43" s="31">
        <f>InputsDetails!H92</f>
        <v>6514850.0903237564</v>
      </c>
      <c r="H43" s="31">
        <f>InputsDetails!I92</f>
        <v>21512550.845262963</v>
      </c>
    </row>
  </sheetData>
  <mergeCells count="3">
    <mergeCell ref="B5:H5"/>
    <mergeCell ref="B17:H17"/>
    <mergeCell ref="B31:H3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FBBC-811E-4920-9DB2-78DDB861A3F0}">
  <sheetPr>
    <tabColor rgb="FF92D050"/>
  </sheetPr>
  <dimension ref="B2:I28"/>
  <sheetViews>
    <sheetView topLeftCell="A15" workbookViewId="0">
      <selection activeCell="H30" sqref="H30"/>
    </sheetView>
  </sheetViews>
  <sheetFormatPr baseColWidth="10" defaultColWidth="8.7265625" defaultRowHeight="14.5" x14ac:dyDescent="0.35"/>
  <cols>
    <col min="1" max="1" width="2" customWidth="1"/>
    <col min="2" max="3" width="28" customWidth="1"/>
    <col min="4" max="9" width="14" customWidth="1"/>
  </cols>
  <sheetData>
    <row r="2" spans="2:9" ht="23.5" x14ac:dyDescent="0.55000000000000004">
      <c r="B2" s="1" t="s">
        <v>133</v>
      </c>
      <c r="C2" s="1"/>
    </row>
    <row r="3" spans="2:9" x14ac:dyDescent="0.35">
      <c r="B3" s="22" t="s">
        <v>134</v>
      </c>
      <c r="C3" s="22"/>
    </row>
    <row r="6" spans="2:9" ht="15.5" x14ac:dyDescent="0.35">
      <c r="B6" s="126" t="s">
        <v>135</v>
      </c>
      <c r="C6" s="126"/>
      <c r="D6" s="126"/>
      <c r="E6" s="120"/>
      <c r="F6" s="120"/>
      <c r="G6" s="120"/>
      <c r="H6" s="120"/>
      <c r="I6" s="120"/>
    </row>
    <row r="7" spans="2:9" x14ac:dyDescent="0.35">
      <c r="B7" s="17"/>
      <c r="C7" s="17" t="s">
        <v>234</v>
      </c>
      <c r="D7" s="18">
        <v>2026</v>
      </c>
      <c r="E7" s="18">
        <v>2027</v>
      </c>
      <c r="F7" s="18">
        <v>2028</v>
      </c>
      <c r="G7" s="18">
        <v>2029</v>
      </c>
      <c r="H7" s="18">
        <v>2030</v>
      </c>
      <c r="I7" s="18">
        <v>2031</v>
      </c>
    </row>
    <row r="8" spans="2:9" x14ac:dyDescent="0.35">
      <c r="B8" s="11" t="s">
        <v>106</v>
      </c>
      <c r="C8" s="11"/>
      <c r="D8" s="29">
        <f>InputsSummary!C11</f>
        <v>0</v>
      </c>
      <c r="E8" s="29">
        <f>InputsSummary!D11</f>
        <v>118968.75000000001</v>
      </c>
      <c r="F8" s="29">
        <f>InputsSummary!E11</f>
        <v>277593.75000000006</v>
      </c>
      <c r="G8" s="29">
        <f>InputsSummary!F11</f>
        <v>634500.00000000012</v>
      </c>
      <c r="H8" s="29">
        <f>InputsSummary!G11</f>
        <v>1110375.0000000002</v>
      </c>
      <c r="I8" s="29">
        <f>InputsSummary!H11</f>
        <v>1586250.0000000002</v>
      </c>
    </row>
    <row r="9" spans="2:9" x14ac:dyDescent="0.35">
      <c r="B9" s="11" t="s">
        <v>30</v>
      </c>
      <c r="C9" s="11"/>
      <c r="D9" s="14">
        <f>InputsSummary!C12</f>
        <v>0</v>
      </c>
      <c r="E9" s="14">
        <f>InputsSummary!D12</f>
        <v>0.15</v>
      </c>
      <c r="F9" s="14">
        <f>InputsSummary!E12</f>
        <v>0.18</v>
      </c>
      <c r="G9" s="14">
        <f>InputsSummary!F12</f>
        <v>0.2</v>
      </c>
      <c r="H9" s="14">
        <f>InputsSummary!G12</f>
        <v>0.22500000000000001</v>
      </c>
      <c r="I9" s="14">
        <f>InputsSummary!H12</f>
        <v>0.25</v>
      </c>
    </row>
    <row r="10" spans="2:9" x14ac:dyDescent="0.35">
      <c r="B10" s="11" t="s">
        <v>183</v>
      </c>
      <c r="C10" s="11"/>
      <c r="D10" s="14">
        <f>InputsSummary!C13</f>
        <v>0.06</v>
      </c>
      <c r="E10" s="14">
        <f>InputsSummary!D13</f>
        <v>0.06</v>
      </c>
      <c r="F10" s="14">
        <f>InputsSummary!E13</f>
        <v>0.05</v>
      </c>
      <c r="G10" s="14">
        <f>InputsSummary!F13</f>
        <v>0.04</v>
      </c>
      <c r="H10" s="14">
        <f>InputsSummary!G13</f>
        <v>3.5000000000000003E-2</v>
      </c>
      <c r="I10" s="14">
        <f>InputsSummary!H13</f>
        <v>0.03</v>
      </c>
    </row>
    <row r="11" spans="2:9" x14ac:dyDescent="0.35">
      <c r="B11" s="52" t="s">
        <v>189</v>
      </c>
      <c r="C11" s="52"/>
      <c r="D11" s="29">
        <f>InputsSummary!C14</f>
        <v>0</v>
      </c>
      <c r="E11" s="29">
        <f>InputsSummary!D14</f>
        <v>16774.59375</v>
      </c>
      <c r="F11" s="29">
        <f>InputsSummary!E14</f>
        <v>47468.531250000007</v>
      </c>
      <c r="G11" s="29">
        <f>InputsSummary!F14</f>
        <v>121824.00000000003</v>
      </c>
      <c r="H11" s="29">
        <f>InputsSummary!G14</f>
        <v>241090.17187500006</v>
      </c>
      <c r="I11" s="29">
        <f>InputsSummary!H14</f>
        <v>384665.62500000006</v>
      </c>
    </row>
    <row r="12" spans="2:9" x14ac:dyDescent="0.35">
      <c r="B12" s="5"/>
      <c r="C12" s="5"/>
    </row>
    <row r="13" spans="2:9" x14ac:dyDescent="0.35">
      <c r="B13" s="11" t="s">
        <v>136</v>
      </c>
      <c r="C13" s="5"/>
    </row>
    <row r="14" spans="2:9" x14ac:dyDescent="0.35">
      <c r="B14" s="11" t="s">
        <v>121</v>
      </c>
      <c r="C14" s="11"/>
      <c r="D14" s="44">
        <f>InputsSummary!C23</f>
        <v>0</v>
      </c>
      <c r="E14" s="44">
        <f>InputsSummary!D23</f>
        <v>39.97</v>
      </c>
      <c r="F14" s="44">
        <f>InputsSummary!E23</f>
        <v>44.984999999999999</v>
      </c>
      <c r="G14" s="44">
        <f>InputsSummary!F23</f>
        <v>46.984000000000009</v>
      </c>
      <c r="H14" s="133">
        <f>InputsSummary!G23</f>
        <v>46.984000000000009</v>
      </c>
      <c r="I14" s="44">
        <f>InputsSummary!H23</f>
        <v>46.984000000000009</v>
      </c>
    </row>
    <row r="15" spans="2:9" x14ac:dyDescent="0.35">
      <c r="B15" s="11" t="s">
        <v>137</v>
      </c>
      <c r="C15" s="11"/>
      <c r="D15" s="29">
        <f t="shared" ref="D15:I15" si="0">D11*D14</f>
        <v>0</v>
      </c>
      <c r="E15" s="29">
        <f>E11*E14</f>
        <v>670480.51218750002</v>
      </c>
      <c r="F15" s="29">
        <f t="shared" si="0"/>
        <v>2135371.8782812501</v>
      </c>
      <c r="G15" s="29">
        <f t="shared" si="0"/>
        <v>5723778.8160000024</v>
      </c>
      <c r="H15" s="29">
        <f>H11*H14</f>
        <v>11327380.635375004</v>
      </c>
      <c r="I15" s="29">
        <f t="shared" si="0"/>
        <v>18073129.725000005</v>
      </c>
    </row>
    <row r="16" spans="2:9" x14ac:dyDescent="0.35">
      <c r="B16" s="5"/>
      <c r="C16" s="5"/>
    </row>
    <row r="17" spans="2:9" x14ac:dyDescent="0.35">
      <c r="B17" s="5"/>
      <c r="C17" s="5"/>
    </row>
    <row r="18" spans="2:9" x14ac:dyDescent="0.35">
      <c r="B18" s="11" t="s">
        <v>138</v>
      </c>
      <c r="C18" s="5"/>
    </row>
    <row r="19" spans="2:9" x14ac:dyDescent="0.35">
      <c r="B19" s="11" t="s">
        <v>139</v>
      </c>
      <c r="C19" s="97">
        <f>InputsDetails!C56</f>
        <v>0.53749999999999998</v>
      </c>
      <c r="D19" s="44">
        <f>InputsSummary!C25</f>
        <v>0</v>
      </c>
      <c r="E19" s="44">
        <f>InputsSummary!D25</f>
        <v>0</v>
      </c>
      <c r="F19" s="44">
        <f>InputsSummary!E25</f>
        <v>1.5000000000000002</v>
      </c>
      <c r="G19" s="44">
        <f>InputsSummary!F25</f>
        <v>2.5</v>
      </c>
      <c r="H19" s="44">
        <f>InputsSummary!G25</f>
        <v>3</v>
      </c>
      <c r="I19" s="44">
        <f>InputsSummary!H25</f>
        <v>4</v>
      </c>
    </row>
    <row r="20" spans="2:9" x14ac:dyDescent="0.35">
      <c r="B20" s="11" t="s">
        <v>140</v>
      </c>
      <c r="C20" s="11"/>
      <c r="D20" s="29">
        <f>D8*D19*$C19</f>
        <v>0</v>
      </c>
      <c r="E20" s="29">
        <f>E8*E19*$C19</f>
        <v>0</v>
      </c>
      <c r="F20" s="29">
        <f>F8*F19*$C19</f>
        <v>223809.96093750009</v>
      </c>
      <c r="G20" s="29">
        <f t="shared" ref="F20:I20" si="1">G8*G19*$C19</f>
        <v>852609.37500000012</v>
      </c>
      <c r="H20" s="29">
        <f t="shared" si="1"/>
        <v>1790479.6875000005</v>
      </c>
      <c r="I20" s="29">
        <f t="shared" si="1"/>
        <v>3410437.5000000005</v>
      </c>
    </row>
    <row r="21" spans="2:9" x14ac:dyDescent="0.35">
      <c r="B21" s="5"/>
      <c r="C21" s="5"/>
    </row>
    <row r="22" spans="2:9" x14ac:dyDescent="0.35">
      <c r="B22" s="5"/>
      <c r="C22" s="5"/>
    </row>
    <row r="23" spans="2:9" x14ac:dyDescent="0.35">
      <c r="B23" s="11" t="s">
        <v>141</v>
      </c>
      <c r="C23" s="5"/>
    </row>
    <row r="24" spans="2:9" x14ac:dyDescent="0.35">
      <c r="B24" s="11" t="s">
        <v>124</v>
      </c>
      <c r="C24" s="97">
        <f>InputsDetails!C62</f>
        <v>0.625</v>
      </c>
      <c r="D24" s="44">
        <f>InputsSummary!C27</f>
        <v>0</v>
      </c>
      <c r="E24" s="44">
        <f>InputsSummary!D27</f>
        <v>0</v>
      </c>
      <c r="F24" s="44">
        <f>InputsSummary!E27</f>
        <v>0.79</v>
      </c>
      <c r="G24" s="44">
        <f>InputsSummary!F27</f>
        <v>1.2</v>
      </c>
      <c r="H24" s="44">
        <f>InputsSummary!G27</f>
        <v>1.5</v>
      </c>
      <c r="I24" s="44">
        <f>InputsSummary!H27</f>
        <v>2</v>
      </c>
    </row>
    <row r="25" spans="2:9" x14ac:dyDescent="0.35">
      <c r="B25" s="11" t="s">
        <v>142</v>
      </c>
      <c r="C25" s="11"/>
      <c r="D25" s="29">
        <f>D8*D24*$C24</f>
        <v>0</v>
      </c>
      <c r="E25" s="29">
        <f>E8*E24*$C24</f>
        <v>0</v>
      </c>
      <c r="F25" s="29">
        <f>F8*F24*$C24</f>
        <v>137061.91406250003</v>
      </c>
      <c r="G25" s="29">
        <f t="shared" ref="F25:I25" si="2">G8*G24*$C24</f>
        <v>475875.00000000006</v>
      </c>
      <c r="H25" s="29">
        <f>H8*H24*$C24</f>
        <v>1040976.5625000002</v>
      </c>
      <c r="I25" s="29">
        <f t="shared" si="2"/>
        <v>1982812.5000000002</v>
      </c>
    </row>
    <row r="26" spans="2:9" x14ac:dyDescent="0.35">
      <c r="B26" s="5"/>
      <c r="C26" s="5"/>
    </row>
    <row r="27" spans="2:9" x14ac:dyDescent="0.35">
      <c r="B27" s="5"/>
      <c r="C27" s="5"/>
    </row>
    <row r="28" spans="2:9" x14ac:dyDescent="0.35">
      <c r="B28" s="11" t="s">
        <v>143</v>
      </c>
      <c r="C28" s="11"/>
      <c r="D28" s="29">
        <f t="shared" ref="D28:I28" si="3">D15+D20+D25</f>
        <v>0</v>
      </c>
      <c r="E28" s="29">
        <f t="shared" si="3"/>
        <v>670480.51218750002</v>
      </c>
      <c r="F28" s="29">
        <f t="shared" si="3"/>
        <v>2496243.7532812501</v>
      </c>
      <c r="G28" s="29">
        <f t="shared" si="3"/>
        <v>7052263.1910000024</v>
      </c>
      <c r="H28" s="29">
        <f>H15+H20+H25</f>
        <v>14158836.885375004</v>
      </c>
      <c r="I28" s="29">
        <f t="shared" si="3"/>
        <v>23466379.725000005</v>
      </c>
    </row>
  </sheetData>
  <mergeCells count="1">
    <mergeCell ref="B6:I6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5BCA-EC94-49F7-9360-92CA7303C28E}">
  <sheetPr>
    <tabColor rgb="FF92D050"/>
  </sheetPr>
  <dimension ref="B2:CB31"/>
  <sheetViews>
    <sheetView tabSelected="1" topLeftCell="AJ13" workbookViewId="0">
      <selection activeCell="AU22" sqref="AU22"/>
    </sheetView>
  </sheetViews>
  <sheetFormatPr baseColWidth="10" defaultColWidth="8.7265625" defaultRowHeight="14.5" outlineLevelCol="1" x14ac:dyDescent="0.35"/>
  <cols>
    <col min="1" max="1" width="2" customWidth="1"/>
    <col min="2" max="2" width="28" customWidth="1"/>
    <col min="3" max="14" width="13.54296875" customWidth="1" outlineLevel="1"/>
    <col min="15" max="15" width="14" customWidth="1"/>
    <col min="16" max="27" width="13.54296875" customWidth="1" outlineLevel="1"/>
    <col min="28" max="28" width="14" customWidth="1"/>
    <col min="29" max="40" width="13.54296875" customWidth="1" outlineLevel="1"/>
    <col min="41" max="41" width="14" customWidth="1"/>
    <col min="42" max="53" width="13.54296875" customWidth="1" outlineLevel="1"/>
    <col min="54" max="54" width="14" customWidth="1"/>
    <col min="55" max="66" width="13.54296875" hidden="1" customWidth="1" outlineLevel="1"/>
    <col min="67" max="67" width="14" customWidth="1" collapsed="1"/>
    <col min="68" max="79" width="13.54296875" hidden="1" customWidth="1" outlineLevel="1"/>
    <col min="80" max="80" width="14" customWidth="1" collapsed="1"/>
  </cols>
  <sheetData>
    <row r="2" spans="2:80" ht="23.5" x14ac:dyDescent="0.55000000000000004">
      <c r="B2" s="1" t="s">
        <v>144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</row>
    <row r="4" spans="2:80" x14ac:dyDescent="0.35">
      <c r="C4" s="129" t="s">
        <v>265</v>
      </c>
      <c r="D4" s="129"/>
      <c r="E4" s="129"/>
      <c r="F4" s="129"/>
      <c r="G4" s="129"/>
      <c r="H4" s="129"/>
    </row>
    <row r="6" spans="2:80" ht="15.5" x14ac:dyDescent="0.35">
      <c r="B6" s="124" t="s">
        <v>145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</row>
    <row r="7" spans="2:80" x14ac:dyDescent="0.35">
      <c r="B7" s="17"/>
      <c r="C7" s="17" t="s">
        <v>218</v>
      </c>
      <c r="D7" s="17" t="s">
        <v>219</v>
      </c>
      <c r="E7" s="17" t="s">
        <v>220</v>
      </c>
      <c r="F7" s="17" t="s">
        <v>221</v>
      </c>
      <c r="G7" s="17" t="s">
        <v>222</v>
      </c>
      <c r="H7" s="17" t="s">
        <v>223</v>
      </c>
      <c r="I7" s="17" t="s">
        <v>224</v>
      </c>
      <c r="J7" s="17" t="s">
        <v>225</v>
      </c>
      <c r="K7" s="17" t="s">
        <v>226</v>
      </c>
      <c r="L7" s="17" t="s">
        <v>227</v>
      </c>
      <c r="M7" s="17" t="s">
        <v>228</v>
      </c>
      <c r="N7" s="17" t="s">
        <v>229</v>
      </c>
      <c r="O7" s="69">
        <v>2026</v>
      </c>
      <c r="P7" s="17" t="s">
        <v>218</v>
      </c>
      <c r="Q7" s="17" t="s">
        <v>219</v>
      </c>
      <c r="R7" s="17" t="s">
        <v>220</v>
      </c>
      <c r="S7" s="17" t="s">
        <v>221</v>
      </c>
      <c r="T7" s="17" t="s">
        <v>222</v>
      </c>
      <c r="U7" s="17" t="s">
        <v>223</v>
      </c>
      <c r="V7" s="17" t="s">
        <v>224</v>
      </c>
      <c r="W7" s="17" t="s">
        <v>225</v>
      </c>
      <c r="X7" s="17" t="s">
        <v>226</v>
      </c>
      <c r="Y7" s="17" t="s">
        <v>227</v>
      </c>
      <c r="Z7" s="17" t="s">
        <v>228</v>
      </c>
      <c r="AA7" s="17" t="s">
        <v>229</v>
      </c>
      <c r="AB7" s="70">
        <v>2027</v>
      </c>
      <c r="AC7" s="17" t="s">
        <v>218</v>
      </c>
      <c r="AD7" s="17" t="s">
        <v>219</v>
      </c>
      <c r="AE7" s="17" t="s">
        <v>220</v>
      </c>
      <c r="AF7" s="17" t="s">
        <v>221</v>
      </c>
      <c r="AG7" s="17" t="s">
        <v>222</v>
      </c>
      <c r="AH7" s="17" t="s">
        <v>223</v>
      </c>
      <c r="AI7" s="17" t="s">
        <v>224</v>
      </c>
      <c r="AJ7" s="17" t="s">
        <v>225</v>
      </c>
      <c r="AK7" s="17" t="s">
        <v>226</v>
      </c>
      <c r="AL7" s="17" t="s">
        <v>227</v>
      </c>
      <c r="AM7" s="17" t="s">
        <v>228</v>
      </c>
      <c r="AN7" s="17" t="s">
        <v>229</v>
      </c>
      <c r="AO7" s="74">
        <v>2028</v>
      </c>
      <c r="AP7" s="17" t="s">
        <v>218</v>
      </c>
      <c r="AQ7" s="17" t="s">
        <v>219</v>
      </c>
      <c r="AR7" s="17" t="s">
        <v>220</v>
      </c>
      <c r="AS7" s="17" t="s">
        <v>221</v>
      </c>
      <c r="AT7" s="17" t="s">
        <v>222</v>
      </c>
      <c r="AU7" s="17" t="s">
        <v>223</v>
      </c>
      <c r="AV7" s="17" t="s">
        <v>224</v>
      </c>
      <c r="AW7" s="17" t="s">
        <v>225</v>
      </c>
      <c r="AX7" s="17" t="s">
        <v>226</v>
      </c>
      <c r="AY7" s="17" t="s">
        <v>227</v>
      </c>
      <c r="AZ7" s="17" t="s">
        <v>228</v>
      </c>
      <c r="BA7" s="17" t="s">
        <v>229</v>
      </c>
      <c r="BB7" s="74">
        <v>2029</v>
      </c>
      <c r="BC7" s="17" t="s">
        <v>218</v>
      </c>
      <c r="BD7" s="17" t="s">
        <v>219</v>
      </c>
      <c r="BE7" s="17" t="s">
        <v>220</v>
      </c>
      <c r="BF7" s="17" t="s">
        <v>221</v>
      </c>
      <c r="BG7" s="17" t="s">
        <v>222</v>
      </c>
      <c r="BH7" s="17" t="s">
        <v>223</v>
      </c>
      <c r="BI7" s="17" t="s">
        <v>224</v>
      </c>
      <c r="BJ7" s="17" t="s">
        <v>225</v>
      </c>
      <c r="BK7" s="17" t="s">
        <v>226</v>
      </c>
      <c r="BL7" s="17" t="s">
        <v>227</v>
      </c>
      <c r="BM7" s="17" t="s">
        <v>228</v>
      </c>
      <c r="BN7" s="17" t="s">
        <v>229</v>
      </c>
      <c r="BO7" s="74">
        <v>2030</v>
      </c>
      <c r="BP7" s="17" t="s">
        <v>218</v>
      </c>
      <c r="BQ7" s="17" t="s">
        <v>219</v>
      </c>
      <c r="BR7" s="17" t="s">
        <v>220</v>
      </c>
      <c r="BS7" s="17" t="s">
        <v>221</v>
      </c>
      <c r="BT7" s="17" t="s">
        <v>222</v>
      </c>
      <c r="BU7" s="17" t="s">
        <v>223</v>
      </c>
      <c r="BV7" s="17" t="s">
        <v>224</v>
      </c>
      <c r="BW7" s="17" t="s">
        <v>225</v>
      </c>
      <c r="BX7" s="17" t="s">
        <v>226</v>
      </c>
      <c r="BY7" s="17" t="s">
        <v>227</v>
      </c>
      <c r="BZ7" s="17" t="s">
        <v>228</v>
      </c>
      <c r="CA7" s="17" t="s">
        <v>229</v>
      </c>
      <c r="CB7" s="74">
        <v>2031</v>
      </c>
    </row>
    <row r="8" spans="2:80" x14ac:dyDescent="0.35">
      <c r="B8" s="23" t="s">
        <v>146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57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71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57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57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57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57"/>
    </row>
    <row r="9" spans="2:80" x14ac:dyDescent="0.35">
      <c r="B9" s="12" t="s">
        <v>147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67">
        <f>Revenue!D28</f>
        <v>0</v>
      </c>
      <c r="P9" s="84">
        <f>$AB9*0.02</f>
        <v>13409.610243750001</v>
      </c>
      <c r="Q9" s="84">
        <f>$AB9*0.03</f>
        <v>20114.415365624998</v>
      </c>
      <c r="R9" s="84">
        <f>$AB9*0.04</f>
        <v>26819.220487500002</v>
      </c>
      <c r="S9" s="84">
        <f>$AB9*0.06</f>
        <v>40228.830731249996</v>
      </c>
      <c r="T9" s="84">
        <f>$AB9*0.08</f>
        <v>53638.440975000005</v>
      </c>
      <c r="U9" s="84">
        <f>$AB9*0.08</f>
        <v>53638.440975000005</v>
      </c>
      <c r="V9" s="84">
        <f>$AB9*0.09</f>
        <v>60343.246096875002</v>
      </c>
      <c r="W9" s="84">
        <f>$AB9*0.1</f>
        <v>67048.051218749999</v>
      </c>
      <c r="X9" s="84">
        <f>$AB9*0.11</f>
        <v>73752.856340625003</v>
      </c>
      <c r="Y9" s="84">
        <f>$AB9*0.12</f>
        <v>80457.661462499993</v>
      </c>
      <c r="Z9" s="84">
        <f>$AB9*0.13</f>
        <v>87162.466584375012</v>
      </c>
      <c r="AA9" s="84">
        <f>$AB9*0.14</f>
        <v>93867.271706250016</v>
      </c>
      <c r="AB9" s="72">
        <f>Revenue!E28</f>
        <v>670480.51218750002</v>
      </c>
      <c r="AC9" s="84">
        <f>$AO9*0.02</f>
        <v>49924.875065625005</v>
      </c>
      <c r="AD9" s="84">
        <f>$AO9*0.03</f>
        <v>74887.312598437507</v>
      </c>
      <c r="AE9" s="84">
        <f>$AO9*0.04</f>
        <v>99849.75013125001</v>
      </c>
      <c r="AF9" s="84">
        <f>$AO9*0.06</f>
        <v>149774.62519687501</v>
      </c>
      <c r="AG9" s="84">
        <f>$AO9*0.08</f>
        <v>199699.50026250002</v>
      </c>
      <c r="AH9" s="84">
        <f>$AO9*0.08</f>
        <v>199699.50026250002</v>
      </c>
      <c r="AI9" s="84">
        <f>$AO9*0.09</f>
        <v>224661.93779531249</v>
      </c>
      <c r="AJ9" s="84">
        <f>$AO9*0.1</f>
        <v>249624.37532812502</v>
      </c>
      <c r="AK9" s="84">
        <f>$AO9*0.11</f>
        <v>274586.8128609375</v>
      </c>
      <c r="AL9" s="84">
        <f>$AO9*0.12</f>
        <v>299549.25039375003</v>
      </c>
      <c r="AM9" s="84">
        <f>$AO9*0.13</f>
        <v>324511.6879265625</v>
      </c>
      <c r="AN9" s="84">
        <f>$AO9*0.14</f>
        <v>349474.12545937503</v>
      </c>
      <c r="AO9" s="67">
        <f>Revenue!F28</f>
        <v>2496243.7532812501</v>
      </c>
      <c r="AP9" s="84">
        <f>$BB9*0.02</f>
        <v>141045.26382000005</v>
      </c>
      <c r="AQ9" s="84">
        <f>$BB9*0.03</f>
        <v>211567.89573000008</v>
      </c>
      <c r="AR9" s="84">
        <f>$BB9*0.04</f>
        <v>282090.5276400001</v>
      </c>
      <c r="AS9" s="84">
        <f>$BB9*0.06</f>
        <v>423135.79146000015</v>
      </c>
      <c r="AT9" s="84">
        <f>$BB9*0.08</f>
        <v>564181.0552800002</v>
      </c>
      <c r="AU9" s="84">
        <f>$BB9*0.08</f>
        <v>564181.0552800002</v>
      </c>
      <c r="AV9" s="84">
        <f>$BB9*0.09</f>
        <v>634703.6871900002</v>
      </c>
      <c r="AW9" s="84">
        <f>$BB9*0.1</f>
        <v>705226.31910000031</v>
      </c>
      <c r="AX9" s="84">
        <f>$BB9*0.11</f>
        <v>775748.95101000031</v>
      </c>
      <c r="AY9" s="84">
        <f>$BB9*0.12</f>
        <v>846271.58292000031</v>
      </c>
      <c r="AZ9" s="84">
        <f>$BB9*0.13</f>
        <v>916794.2148300003</v>
      </c>
      <c r="BA9" s="84">
        <f>$BB9*0.14</f>
        <v>987316.84674000042</v>
      </c>
      <c r="BB9" s="67">
        <f>Revenue!G28</f>
        <v>7052263.1910000024</v>
      </c>
      <c r="BC9" s="84">
        <f>$BO9*0.02</f>
        <v>283176.73770750011</v>
      </c>
      <c r="BD9" s="84">
        <f>$BO9*0.03</f>
        <v>424765.10656125011</v>
      </c>
      <c r="BE9" s="84">
        <f>$BO9*0.04</f>
        <v>566353.47541500023</v>
      </c>
      <c r="BF9" s="84">
        <f>$BO9*0.06</f>
        <v>849530.21312250022</v>
      </c>
      <c r="BG9" s="84">
        <f>$BO9*0.08</f>
        <v>1132706.9508300005</v>
      </c>
      <c r="BH9" s="84">
        <f>$BO9*0.08</f>
        <v>1132706.9508300005</v>
      </c>
      <c r="BI9" s="84">
        <f>$BO9*0.09</f>
        <v>1274295.3196837504</v>
      </c>
      <c r="BJ9" s="84">
        <f>$BO9*0.1</f>
        <v>1415883.6885375006</v>
      </c>
      <c r="BK9" s="84">
        <f>$BO9*0.11</f>
        <v>1557472.0573912505</v>
      </c>
      <c r="BL9" s="84">
        <f>$BO9*0.12</f>
        <v>1699060.4262450004</v>
      </c>
      <c r="BM9" s="84">
        <f>$BO9*0.13</f>
        <v>1840648.7950987506</v>
      </c>
      <c r="BN9" s="84">
        <f>$BO9*0.14</f>
        <v>1982237.1639525008</v>
      </c>
      <c r="BO9" s="67">
        <f>Revenue!H28</f>
        <v>14158836.885375004</v>
      </c>
      <c r="BP9" s="84">
        <f>$CB9*0.02</f>
        <v>469327.59450000012</v>
      </c>
      <c r="BQ9" s="84">
        <f>$CB9*0.03</f>
        <v>703991.39175000018</v>
      </c>
      <c r="BR9" s="84">
        <f>$CB9*0.04</f>
        <v>938655.18900000025</v>
      </c>
      <c r="BS9" s="84">
        <f>$CB9*0.06</f>
        <v>1407982.7835000004</v>
      </c>
      <c r="BT9" s="84">
        <f>$CB9*0.08</f>
        <v>1877310.3780000005</v>
      </c>
      <c r="BU9" s="84">
        <f>$CB9*0.08</f>
        <v>1877310.3780000005</v>
      </c>
      <c r="BV9" s="84">
        <f>$CB9*0.09</f>
        <v>2111974.1752500003</v>
      </c>
      <c r="BW9" s="84">
        <f>$CB9*0.1</f>
        <v>2346637.9725000006</v>
      </c>
      <c r="BX9" s="84">
        <f>$CB9*0.11</f>
        <v>2581301.7697500004</v>
      </c>
      <c r="BY9" s="84">
        <f>$CB9*0.12</f>
        <v>2815965.5670000007</v>
      </c>
      <c r="BZ9" s="84">
        <f>$CB9*0.13</f>
        <v>3050629.3642500006</v>
      </c>
      <c r="CA9" s="84">
        <f>$CB9*0.14</f>
        <v>3285293.1615000009</v>
      </c>
      <c r="CB9" s="67">
        <f>Revenue!I28</f>
        <v>23466379.725000005</v>
      </c>
    </row>
    <row r="10" spans="2:80" x14ac:dyDescent="0.35"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68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73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68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68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68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68"/>
    </row>
    <row r="11" spans="2:80" x14ac:dyDescent="0.35">
      <c r="B11" s="23" t="s">
        <v>148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68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73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68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68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68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68"/>
    </row>
    <row r="12" spans="2:80" x14ac:dyDescent="0.35">
      <c r="B12" s="11" t="s">
        <v>149</v>
      </c>
      <c r="C12" s="82">
        <f t="shared" ref="C12:H12" si="0">$O12*0</f>
        <v>0</v>
      </c>
      <c r="D12" s="82">
        <f t="shared" si="0"/>
        <v>0</v>
      </c>
      <c r="E12" s="82">
        <f t="shared" si="0"/>
        <v>0</v>
      </c>
      <c r="F12" s="82">
        <f t="shared" si="0"/>
        <v>0</v>
      </c>
      <c r="G12" s="82">
        <f t="shared" si="0"/>
        <v>0</v>
      </c>
      <c r="H12" s="82">
        <f t="shared" si="0"/>
        <v>0</v>
      </c>
      <c r="I12" s="82">
        <f>$O12*0.09</f>
        <v>9000</v>
      </c>
      <c r="J12" s="82">
        <f>$O12*0.11</f>
        <v>11000</v>
      </c>
      <c r="K12" s="82">
        <f>$O12*0.15</f>
        <v>15000</v>
      </c>
      <c r="L12" s="82">
        <f>$O12*0.18</f>
        <v>18000</v>
      </c>
      <c r="M12" s="82">
        <f>$O12*0.21</f>
        <v>21000</v>
      </c>
      <c r="N12" s="83">
        <f>$O12*0.26</f>
        <v>26000</v>
      </c>
      <c r="O12" s="67">
        <f>InputsSummary!C33</f>
        <v>100000</v>
      </c>
      <c r="P12" s="84">
        <f t="shared" ref="P12:P18" si="1">$AB12*0.02</f>
        <v>6000</v>
      </c>
      <c r="Q12" s="84">
        <f t="shared" ref="Q12:Q18" si="2">$AB12*0.03</f>
        <v>9000</v>
      </c>
      <c r="R12" s="84">
        <f t="shared" ref="R12:R18" si="3">$AB12*0.04</f>
        <v>12000</v>
      </c>
      <c r="S12" s="84">
        <f t="shared" ref="S12:S18" si="4">$AB12*0.06</f>
        <v>18000</v>
      </c>
      <c r="T12" s="84">
        <f t="shared" ref="T12:U18" si="5">$AB12*0.08</f>
        <v>24000</v>
      </c>
      <c r="U12" s="84">
        <f t="shared" si="5"/>
        <v>24000</v>
      </c>
      <c r="V12" s="84">
        <f t="shared" ref="V12:V18" si="6">$AB12*0.09</f>
        <v>27000</v>
      </c>
      <c r="W12" s="84">
        <f t="shared" ref="W12:W18" si="7">$AB12*0.1</f>
        <v>30000</v>
      </c>
      <c r="X12" s="84">
        <f t="shared" ref="X12:X18" si="8">$AB12*0.11</f>
        <v>33000</v>
      </c>
      <c r="Y12" s="84">
        <f t="shared" ref="Y12:Y18" si="9">$AB12*0.12</f>
        <v>36000</v>
      </c>
      <c r="Z12" s="84">
        <f t="shared" ref="Z12:Z18" si="10">$AB12*0.13</f>
        <v>39000</v>
      </c>
      <c r="AA12" s="84">
        <f t="shared" ref="AA12:AA18" si="11">$AB12*0.14</f>
        <v>42000.000000000007</v>
      </c>
      <c r="AB12" s="72">
        <f>InputsSummary!D33</f>
        <v>300000</v>
      </c>
      <c r="AC12" s="84">
        <f t="shared" ref="AC12:AC18" si="12">$AO12*0.02</f>
        <v>12600</v>
      </c>
      <c r="AD12" s="84">
        <f t="shared" ref="AD12:AD18" si="13">$AO12*0.03</f>
        <v>18900</v>
      </c>
      <c r="AE12" s="84">
        <f t="shared" ref="AE12:AE18" si="14">$AO12*0.04</f>
        <v>25200</v>
      </c>
      <c r="AF12" s="84">
        <f t="shared" ref="AF12:AF18" si="15">$AO12*0.06</f>
        <v>37800</v>
      </c>
      <c r="AG12" s="84">
        <f t="shared" ref="AG12:AH18" si="16">$AO12*0.08</f>
        <v>50400</v>
      </c>
      <c r="AH12" s="84">
        <f t="shared" si="16"/>
        <v>50400</v>
      </c>
      <c r="AI12" s="84">
        <f t="shared" ref="AI12:AI18" si="17">$AO12*0.09</f>
        <v>56700</v>
      </c>
      <c r="AJ12" s="84">
        <f t="shared" ref="AJ12:AJ18" si="18">$AO12*0.1</f>
        <v>63000</v>
      </c>
      <c r="AK12" s="84">
        <f t="shared" ref="AK12:AK18" si="19">$AO12*0.11</f>
        <v>69300</v>
      </c>
      <c r="AL12" s="84">
        <f t="shared" ref="AL12:AL18" si="20">$AO12*0.12</f>
        <v>75600</v>
      </c>
      <c r="AM12" s="84">
        <f t="shared" ref="AM12:AM18" si="21">$AO12*0.13</f>
        <v>81900</v>
      </c>
      <c r="AN12" s="84">
        <f t="shared" ref="AN12:AN18" si="22">$AO12*0.14</f>
        <v>88200.000000000015</v>
      </c>
      <c r="AO12" s="67">
        <f>InputsSummary!E33</f>
        <v>630000</v>
      </c>
      <c r="AP12" s="84">
        <f t="shared" ref="AP12:AP18" si="23">$BB12*0.02</f>
        <v>25200</v>
      </c>
      <c r="AQ12" s="84">
        <f t="shared" ref="AQ12:AQ18" si="24">$BB12*0.03</f>
        <v>37800</v>
      </c>
      <c r="AR12" s="84">
        <f t="shared" ref="AR12:AR18" si="25">$BB12*0.04</f>
        <v>50400</v>
      </c>
      <c r="AS12" s="84">
        <f t="shared" ref="AS12:AS18" si="26">$BB12*0.06</f>
        <v>75600</v>
      </c>
      <c r="AT12" s="84">
        <f t="shared" ref="AT12:AU18" si="27">$BB12*0.08</f>
        <v>100800</v>
      </c>
      <c r="AU12" s="84">
        <f t="shared" si="27"/>
        <v>100800</v>
      </c>
      <c r="AV12" s="84">
        <f t="shared" ref="AV12:AV18" si="28">$BB12*0.09</f>
        <v>113400</v>
      </c>
      <c r="AW12" s="84">
        <f t="shared" ref="AW12:AW18" si="29">$BB12*0.1</f>
        <v>126000</v>
      </c>
      <c r="AX12" s="84">
        <f t="shared" ref="AX12:AX18" si="30">$BB12*0.11</f>
        <v>138600</v>
      </c>
      <c r="AY12" s="84">
        <f t="shared" ref="AY12:AY18" si="31">$BB12*0.12</f>
        <v>151200</v>
      </c>
      <c r="AZ12" s="84">
        <f t="shared" ref="AZ12:AZ18" si="32">$BB12*0.13</f>
        <v>163800</v>
      </c>
      <c r="BA12" s="84">
        <f t="shared" ref="BA12:BA18" si="33">$BB12*0.14</f>
        <v>176400.00000000003</v>
      </c>
      <c r="BB12" s="67">
        <f>InputsSummary!F33</f>
        <v>1260000</v>
      </c>
      <c r="BC12" s="84">
        <f t="shared" ref="BC12:BC18" si="34">$BO12*0.02</f>
        <v>42000</v>
      </c>
      <c r="BD12" s="84">
        <f t="shared" ref="BD12:BD18" si="35">$BO12*0.03</f>
        <v>63000</v>
      </c>
      <c r="BE12" s="84">
        <f t="shared" ref="BE12:BE18" si="36">$BO12*0.04</f>
        <v>84000</v>
      </c>
      <c r="BF12" s="84">
        <f t="shared" ref="BF12:BF18" si="37">$BO12*0.06</f>
        <v>126000</v>
      </c>
      <c r="BG12" s="84">
        <f t="shared" ref="BG12:BH18" si="38">$BO12*0.08</f>
        <v>168000</v>
      </c>
      <c r="BH12" s="84">
        <f t="shared" si="38"/>
        <v>168000</v>
      </c>
      <c r="BI12" s="84">
        <f t="shared" ref="BI12:BI18" si="39">$BO12*0.09</f>
        <v>189000</v>
      </c>
      <c r="BJ12" s="84">
        <f t="shared" ref="BJ12:BJ18" si="40">$BO12*0.1</f>
        <v>210000</v>
      </c>
      <c r="BK12" s="84">
        <f t="shared" ref="BK12:BK18" si="41">$BO12*0.11</f>
        <v>231000</v>
      </c>
      <c r="BL12" s="84">
        <f t="shared" ref="BL12:BL18" si="42">$BO12*0.12</f>
        <v>252000</v>
      </c>
      <c r="BM12" s="84">
        <f t="shared" ref="BM12:BM18" si="43">$BO12*0.13</f>
        <v>273000</v>
      </c>
      <c r="BN12" s="84">
        <f t="shared" ref="BN12:BN18" si="44">$BO12*0.14</f>
        <v>294000</v>
      </c>
      <c r="BO12" s="67">
        <f>InputsSummary!G33</f>
        <v>2100000</v>
      </c>
      <c r="BP12" s="84">
        <f t="shared" ref="BP12:BP18" si="45">$CB12*0.02</f>
        <v>52000</v>
      </c>
      <c r="BQ12" s="84">
        <f t="shared" ref="BQ12:BQ18" si="46">$CB12*0.03</f>
        <v>78000</v>
      </c>
      <c r="BR12" s="84">
        <f t="shared" ref="BR12:BR18" si="47">$CB12*0.04</f>
        <v>104000</v>
      </c>
      <c r="BS12" s="84">
        <f t="shared" ref="BS12:BS18" si="48">$CB12*0.06</f>
        <v>156000</v>
      </c>
      <c r="BT12" s="84">
        <f t="shared" ref="BT12:BU18" si="49">$CB12*0.08</f>
        <v>208000</v>
      </c>
      <c r="BU12" s="84">
        <f t="shared" si="49"/>
        <v>208000</v>
      </c>
      <c r="BV12" s="84">
        <f t="shared" ref="BV12:BV18" si="50">$CB12*0.09</f>
        <v>234000</v>
      </c>
      <c r="BW12" s="84">
        <f t="shared" ref="BW12:BW18" si="51">$CB12*0.1</f>
        <v>260000</v>
      </c>
      <c r="BX12" s="84">
        <f t="shared" ref="BX12:BX18" si="52">$CB12*0.11</f>
        <v>286000</v>
      </c>
      <c r="BY12" s="84">
        <f t="shared" ref="BY12:BY18" si="53">$CB12*0.12</f>
        <v>312000</v>
      </c>
      <c r="BZ12" s="84">
        <f t="shared" ref="BZ12:BZ18" si="54">$CB12*0.13</f>
        <v>338000</v>
      </c>
      <c r="CA12" s="84">
        <f t="shared" ref="CA12:CA18" si="55">$CB12*0.14</f>
        <v>364000.00000000006</v>
      </c>
      <c r="CB12" s="67">
        <f>InputsSummary!H33</f>
        <v>2600000</v>
      </c>
    </row>
    <row r="13" spans="2:80" x14ac:dyDescent="0.35">
      <c r="B13" s="11" t="s">
        <v>150</v>
      </c>
      <c r="C13" s="82">
        <f t="shared" ref="C13:G18" si="56">$O13*0</f>
        <v>0</v>
      </c>
      <c r="D13" s="82">
        <f t="shared" si="56"/>
        <v>0</v>
      </c>
      <c r="E13" s="82">
        <f t="shared" si="56"/>
        <v>0</v>
      </c>
      <c r="F13" s="82">
        <f t="shared" si="56"/>
        <v>0</v>
      </c>
      <c r="G13" s="82">
        <f t="shared" si="56"/>
        <v>0</v>
      </c>
      <c r="H13" s="82">
        <f t="shared" ref="H13:H18" si="57">$O13*0</f>
        <v>0</v>
      </c>
      <c r="I13" s="82">
        <f>$O13/6</f>
        <v>91000</v>
      </c>
      <c r="J13" s="82">
        <f t="shared" ref="I13:N18" si="58">$O13/6</f>
        <v>91000</v>
      </c>
      <c r="K13" s="82">
        <f t="shared" si="58"/>
        <v>91000</v>
      </c>
      <c r="L13" s="82">
        <f t="shared" si="58"/>
        <v>91000</v>
      </c>
      <c r="M13" s="82">
        <f t="shared" si="58"/>
        <v>91000</v>
      </c>
      <c r="N13" s="83">
        <f t="shared" si="58"/>
        <v>91000</v>
      </c>
      <c r="O13" s="67">
        <f>InputsSummary!C34</f>
        <v>546000</v>
      </c>
      <c r="P13" s="84">
        <f t="shared" si="1"/>
        <v>24793.600000000002</v>
      </c>
      <c r="Q13" s="84">
        <f t="shared" si="2"/>
        <v>37190.400000000001</v>
      </c>
      <c r="R13" s="84">
        <f t="shared" si="3"/>
        <v>49587.200000000004</v>
      </c>
      <c r="S13" s="84">
        <f t="shared" si="4"/>
        <v>74380.800000000003</v>
      </c>
      <c r="T13" s="84">
        <f t="shared" si="5"/>
        <v>99174.400000000009</v>
      </c>
      <c r="U13" s="84">
        <f t="shared" si="5"/>
        <v>99174.400000000009</v>
      </c>
      <c r="V13" s="84">
        <f t="shared" si="6"/>
        <v>111571.2</v>
      </c>
      <c r="W13" s="84">
        <f t="shared" si="7"/>
        <v>123968</v>
      </c>
      <c r="X13" s="84">
        <f t="shared" si="8"/>
        <v>136364.79999999999</v>
      </c>
      <c r="Y13" s="84">
        <f t="shared" si="9"/>
        <v>148761.60000000001</v>
      </c>
      <c r="Z13" s="84">
        <f t="shared" si="10"/>
        <v>161158.39999999999</v>
      </c>
      <c r="AA13" s="84">
        <f t="shared" si="11"/>
        <v>173555.20000000001</v>
      </c>
      <c r="AB13" s="72">
        <f>InputsSummary!D34</f>
        <v>1239680</v>
      </c>
      <c r="AC13" s="84">
        <f t="shared" si="12"/>
        <v>31457.344000000001</v>
      </c>
      <c r="AD13" s="84">
        <f t="shared" si="13"/>
        <v>47186.015999999996</v>
      </c>
      <c r="AE13" s="84">
        <f t="shared" si="14"/>
        <v>62914.688000000002</v>
      </c>
      <c r="AF13" s="84">
        <f t="shared" si="15"/>
        <v>94372.031999999992</v>
      </c>
      <c r="AG13" s="84">
        <f t="shared" si="16"/>
        <v>125829.376</v>
      </c>
      <c r="AH13" s="84">
        <f t="shared" si="16"/>
        <v>125829.376</v>
      </c>
      <c r="AI13" s="84">
        <f t="shared" si="17"/>
        <v>141558.04799999998</v>
      </c>
      <c r="AJ13" s="84">
        <f t="shared" si="18"/>
        <v>157286.72</v>
      </c>
      <c r="AK13" s="84">
        <f t="shared" si="19"/>
        <v>173015.39199999999</v>
      </c>
      <c r="AL13" s="84">
        <f t="shared" si="20"/>
        <v>188744.06399999998</v>
      </c>
      <c r="AM13" s="84">
        <f t="shared" si="21"/>
        <v>204472.736</v>
      </c>
      <c r="AN13" s="84">
        <f t="shared" si="22"/>
        <v>220201.40800000002</v>
      </c>
      <c r="AO13" s="67">
        <f>InputsSummary!E34</f>
        <v>1572867.2</v>
      </c>
      <c r="AP13" s="84">
        <f t="shared" si="23"/>
        <v>42631.637760000005</v>
      </c>
      <c r="AQ13" s="84">
        <f t="shared" si="24"/>
        <v>63947.456640000004</v>
      </c>
      <c r="AR13" s="84">
        <f t="shared" si="25"/>
        <v>85263.27552000001</v>
      </c>
      <c r="AS13" s="84">
        <f t="shared" si="26"/>
        <v>127894.91328000001</v>
      </c>
      <c r="AT13" s="84">
        <f t="shared" si="27"/>
        <v>170526.55104000002</v>
      </c>
      <c r="AU13" s="84">
        <f t="shared" si="27"/>
        <v>170526.55104000002</v>
      </c>
      <c r="AV13" s="84">
        <f t="shared" si="28"/>
        <v>191842.36992000003</v>
      </c>
      <c r="AW13" s="84">
        <f t="shared" si="29"/>
        <v>213158.18880000003</v>
      </c>
      <c r="AX13" s="84">
        <f t="shared" si="30"/>
        <v>234474.00768000004</v>
      </c>
      <c r="AY13" s="84">
        <f t="shared" si="31"/>
        <v>255789.82656000002</v>
      </c>
      <c r="AZ13" s="84">
        <f t="shared" si="32"/>
        <v>277105.64544000005</v>
      </c>
      <c r="BA13" s="84">
        <f t="shared" si="33"/>
        <v>298421.46432000009</v>
      </c>
      <c r="BB13" s="67">
        <f>InputsSummary!F34</f>
        <v>2131581.8880000003</v>
      </c>
      <c r="BC13" s="84">
        <f t="shared" si="34"/>
        <v>50316.903270399998</v>
      </c>
      <c r="BD13" s="84">
        <f t="shared" si="35"/>
        <v>75475.35490559999</v>
      </c>
      <c r="BE13" s="84">
        <f t="shared" si="36"/>
        <v>100633.8065408</v>
      </c>
      <c r="BF13" s="84">
        <f t="shared" si="37"/>
        <v>150950.70981119998</v>
      </c>
      <c r="BG13" s="84">
        <f t="shared" si="38"/>
        <v>201267.61308159999</v>
      </c>
      <c r="BH13" s="84">
        <f t="shared" si="38"/>
        <v>201267.61308159999</v>
      </c>
      <c r="BI13" s="84">
        <f t="shared" si="39"/>
        <v>226426.0647168</v>
      </c>
      <c r="BJ13" s="84">
        <f t="shared" si="40"/>
        <v>251584.51635200001</v>
      </c>
      <c r="BK13" s="84">
        <f t="shared" si="41"/>
        <v>276742.96798720001</v>
      </c>
      <c r="BL13" s="84">
        <f t="shared" si="42"/>
        <v>301901.41962239996</v>
      </c>
      <c r="BM13" s="84">
        <f t="shared" si="43"/>
        <v>327059.87125760003</v>
      </c>
      <c r="BN13" s="84">
        <f t="shared" si="44"/>
        <v>352218.32289280003</v>
      </c>
      <c r="BO13" s="67">
        <f>InputsSummary!G34</f>
        <v>2515845.1635199999</v>
      </c>
      <c r="BP13" s="84">
        <f t="shared" si="45"/>
        <v>50613.579401216004</v>
      </c>
      <c r="BQ13" s="84">
        <f t="shared" si="46"/>
        <v>75920.369101824006</v>
      </c>
      <c r="BR13" s="84">
        <f t="shared" si="47"/>
        <v>101227.15880243201</v>
      </c>
      <c r="BS13" s="84">
        <f t="shared" si="48"/>
        <v>151840.73820364801</v>
      </c>
      <c r="BT13" s="84">
        <f t="shared" si="49"/>
        <v>202454.31760486402</v>
      </c>
      <c r="BU13" s="84">
        <f t="shared" si="49"/>
        <v>202454.31760486402</v>
      </c>
      <c r="BV13" s="84">
        <f t="shared" si="50"/>
        <v>227761.10730547202</v>
      </c>
      <c r="BW13" s="84">
        <f t="shared" si="51"/>
        <v>253067.89700608002</v>
      </c>
      <c r="BX13" s="84">
        <f t="shared" si="52"/>
        <v>278374.68670668802</v>
      </c>
      <c r="BY13" s="84">
        <f t="shared" si="53"/>
        <v>303681.47640729602</v>
      </c>
      <c r="BZ13" s="84">
        <f t="shared" si="54"/>
        <v>328988.26610790403</v>
      </c>
      <c r="CA13" s="84">
        <f t="shared" si="55"/>
        <v>354295.05580851209</v>
      </c>
      <c r="CB13" s="67">
        <f>InputsSummary!H34</f>
        <v>2530678.9700608002</v>
      </c>
    </row>
    <row r="14" spans="2:80" x14ac:dyDescent="0.35">
      <c r="B14" s="11" t="s">
        <v>151</v>
      </c>
      <c r="C14" s="82">
        <f t="shared" si="56"/>
        <v>0</v>
      </c>
      <c r="D14" s="82">
        <f t="shared" si="56"/>
        <v>0</v>
      </c>
      <c r="E14" s="82">
        <f t="shared" si="56"/>
        <v>0</v>
      </c>
      <c r="F14" s="82">
        <f t="shared" si="56"/>
        <v>0</v>
      </c>
      <c r="G14" s="82">
        <f t="shared" si="56"/>
        <v>0</v>
      </c>
      <c r="H14" s="82">
        <f t="shared" si="57"/>
        <v>0</v>
      </c>
      <c r="I14" s="83">
        <f t="shared" si="58"/>
        <v>2500</v>
      </c>
      <c r="J14" s="83">
        <f t="shared" si="58"/>
        <v>2500</v>
      </c>
      <c r="K14" s="83">
        <f t="shared" si="58"/>
        <v>2500</v>
      </c>
      <c r="L14" s="83">
        <f t="shared" si="58"/>
        <v>2500</v>
      </c>
      <c r="M14" s="83">
        <f t="shared" si="58"/>
        <v>2500</v>
      </c>
      <c r="N14" s="83">
        <f t="shared" si="58"/>
        <v>2500</v>
      </c>
      <c r="O14" s="67">
        <f>InputsSummary!C35</f>
        <v>15000</v>
      </c>
      <c r="P14" s="84">
        <f t="shared" si="1"/>
        <v>700</v>
      </c>
      <c r="Q14" s="84">
        <f t="shared" si="2"/>
        <v>1050</v>
      </c>
      <c r="R14" s="84">
        <f t="shared" si="3"/>
        <v>1400</v>
      </c>
      <c r="S14" s="84">
        <f t="shared" si="4"/>
        <v>2100</v>
      </c>
      <c r="T14" s="84">
        <f t="shared" si="5"/>
        <v>2800</v>
      </c>
      <c r="U14" s="84">
        <f t="shared" si="5"/>
        <v>2800</v>
      </c>
      <c r="V14" s="84">
        <f t="shared" si="6"/>
        <v>3150</v>
      </c>
      <c r="W14" s="84">
        <f t="shared" si="7"/>
        <v>3500</v>
      </c>
      <c r="X14" s="84">
        <f t="shared" si="8"/>
        <v>3850</v>
      </c>
      <c r="Y14" s="84">
        <f t="shared" si="9"/>
        <v>4200</v>
      </c>
      <c r="Z14" s="84">
        <f t="shared" si="10"/>
        <v>4550</v>
      </c>
      <c r="AA14" s="84">
        <f t="shared" si="11"/>
        <v>4900.0000000000009</v>
      </c>
      <c r="AB14" s="72">
        <f>InputsSummary!D35</f>
        <v>35000</v>
      </c>
      <c r="AC14" s="84">
        <f t="shared" si="12"/>
        <v>1500</v>
      </c>
      <c r="AD14" s="84">
        <f t="shared" si="13"/>
        <v>2250</v>
      </c>
      <c r="AE14" s="84">
        <f t="shared" si="14"/>
        <v>3000</v>
      </c>
      <c r="AF14" s="84">
        <f t="shared" si="15"/>
        <v>4500</v>
      </c>
      <c r="AG14" s="84">
        <f t="shared" si="16"/>
        <v>6000</v>
      </c>
      <c r="AH14" s="84">
        <f t="shared" si="16"/>
        <v>6000</v>
      </c>
      <c r="AI14" s="84">
        <f t="shared" si="17"/>
        <v>6750</v>
      </c>
      <c r="AJ14" s="84">
        <f t="shared" si="18"/>
        <v>7500</v>
      </c>
      <c r="AK14" s="84">
        <f t="shared" si="19"/>
        <v>8250</v>
      </c>
      <c r="AL14" s="84">
        <f t="shared" si="20"/>
        <v>9000</v>
      </c>
      <c r="AM14" s="84">
        <f t="shared" si="21"/>
        <v>9750</v>
      </c>
      <c r="AN14" s="84">
        <f t="shared" si="22"/>
        <v>10500.000000000002</v>
      </c>
      <c r="AO14" s="67">
        <f>InputsSummary!E35</f>
        <v>75000</v>
      </c>
      <c r="AP14" s="84">
        <f t="shared" si="23"/>
        <v>3000</v>
      </c>
      <c r="AQ14" s="84">
        <f t="shared" si="24"/>
        <v>4500</v>
      </c>
      <c r="AR14" s="84">
        <f t="shared" si="25"/>
        <v>6000</v>
      </c>
      <c r="AS14" s="84">
        <f t="shared" si="26"/>
        <v>9000</v>
      </c>
      <c r="AT14" s="84">
        <f t="shared" si="27"/>
        <v>12000</v>
      </c>
      <c r="AU14" s="84">
        <f t="shared" si="27"/>
        <v>12000</v>
      </c>
      <c r="AV14" s="84">
        <f t="shared" si="28"/>
        <v>13500</v>
      </c>
      <c r="AW14" s="84">
        <f t="shared" si="29"/>
        <v>15000</v>
      </c>
      <c r="AX14" s="84">
        <f t="shared" si="30"/>
        <v>16500</v>
      </c>
      <c r="AY14" s="84">
        <f t="shared" si="31"/>
        <v>18000</v>
      </c>
      <c r="AZ14" s="84">
        <f t="shared" si="32"/>
        <v>19500</v>
      </c>
      <c r="BA14" s="84">
        <f t="shared" si="33"/>
        <v>21000.000000000004</v>
      </c>
      <c r="BB14" s="67">
        <f>InputsSummary!F35</f>
        <v>150000</v>
      </c>
      <c r="BC14" s="84">
        <f t="shared" si="34"/>
        <v>6000</v>
      </c>
      <c r="BD14" s="84">
        <f t="shared" si="35"/>
        <v>9000</v>
      </c>
      <c r="BE14" s="84">
        <f t="shared" si="36"/>
        <v>12000</v>
      </c>
      <c r="BF14" s="84">
        <f t="shared" si="37"/>
        <v>18000</v>
      </c>
      <c r="BG14" s="84">
        <f t="shared" si="38"/>
        <v>24000</v>
      </c>
      <c r="BH14" s="84">
        <f t="shared" si="38"/>
        <v>24000</v>
      </c>
      <c r="BI14" s="84">
        <f t="shared" si="39"/>
        <v>27000</v>
      </c>
      <c r="BJ14" s="84">
        <f t="shared" si="40"/>
        <v>30000</v>
      </c>
      <c r="BK14" s="84">
        <f t="shared" si="41"/>
        <v>33000</v>
      </c>
      <c r="BL14" s="84">
        <f t="shared" si="42"/>
        <v>36000</v>
      </c>
      <c r="BM14" s="84">
        <f t="shared" si="43"/>
        <v>39000</v>
      </c>
      <c r="BN14" s="84">
        <f t="shared" si="44"/>
        <v>42000.000000000007</v>
      </c>
      <c r="BO14" s="67">
        <f>InputsSummary!G35</f>
        <v>300000</v>
      </c>
      <c r="BP14" s="84">
        <f t="shared" si="45"/>
        <v>12000</v>
      </c>
      <c r="BQ14" s="84">
        <f t="shared" si="46"/>
        <v>18000</v>
      </c>
      <c r="BR14" s="84">
        <f t="shared" si="47"/>
        <v>24000</v>
      </c>
      <c r="BS14" s="84">
        <f t="shared" si="48"/>
        <v>36000</v>
      </c>
      <c r="BT14" s="84">
        <f t="shared" si="49"/>
        <v>48000</v>
      </c>
      <c r="BU14" s="84">
        <f t="shared" si="49"/>
        <v>48000</v>
      </c>
      <c r="BV14" s="84">
        <f t="shared" si="50"/>
        <v>54000</v>
      </c>
      <c r="BW14" s="84">
        <f t="shared" si="51"/>
        <v>60000</v>
      </c>
      <c r="BX14" s="84">
        <f t="shared" si="52"/>
        <v>66000</v>
      </c>
      <c r="BY14" s="84">
        <f t="shared" si="53"/>
        <v>72000</v>
      </c>
      <c r="BZ14" s="84">
        <f t="shared" si="54"/>
        <v>78000</v>
      </c>
      <c r="CA14" s="84">
        <f t="shared" si="55"/>
        <v>84000.000000000015</v>
      </c>
      <c r="CB14" s="67">
        <f>InputsSummary!H35</f>
        <v>600000</v>
      </c>
    </row>
    <row r="15" spans="2:80" x14ac:dyDescent="0.35">
      <c r="B15" s="11" t="s">
        <v>85</v>
      </c>
      <c r="C15" s="82">
        <f t="shared" si="56"/>
        <v>0</v>
      </c>
      <c r="D15" s="82">
        <f t="shared" si="56"/>
        <v>0</v>
      </c>
      <c r="E15" s="82">
        <f t="shared" si="56"/>
        <v>0</v>
      </c>
      <c r="F15" s="82">
        <f t="shared" si="56"/>
        <v>0</v>
      </c>
      <c r="G15" s="82">
        <f t="shared" si="56"/>
        <v>0</v>
      </c>
      <c r="H15" s="82">
        <f t="shared" si="57"/>
        <v>0</v>
      </c>
      <c r="I15" s="83">
        <f t="shared" si="58"/>
        <v>4166.666666666667</v>
      </c>
      <c r="J15" s="83">
        <f t="shared" si="58"/>
        <v>4166.666666666667</v>
      </c>
      <c r="K15" s="83">
        <f t="shared" si="58"/>
        <v>4166.666666666667</v>
      </c>
      <c r="L15" s="83">
        <f t="shared" si="58"/>
        <v>4166.666666666667</v>
      </c>
      <c r="M15" s="83">
        <f t="shared" si="58"/>
        <v>4166.666666666667</v>
      </c>
      <c r="N15" s="83">
        <f t="shared" si="58"/>
        <v>4166.666666666667</v>
      </c>
      <c r="O15" s="67">
        <f>InputsSummary!C36</f>
        <v>25000</v>
      </c>
      <c r="P15" s="84">
        <f t="shared" si="1"/>
        <v>1000</v>
      </c>
      <c r="Q15" s="84">
        <f t="shared" si="2"/>
        <v>1500</v>
      </c>
      <c r="R15" s="84">
        <f t="shared" si="3"/>
        <v>2000</v>
      </c>
      <c r="S15" s="84">
        <f t="shared" si="4"/>
        <v>3000</v>
      </c>
      <c r="T15" s="84">
        <f t="shared" si="5"/>
        <v>4000</v>
      </c>
      <c r="U15" s="84">
        <f t="shared" si="5"/>
        <v>4000</v>
      </c>
      <c r="V15" s="84">
        <f t="shared" si="6"/>
        <v>4500</v>
      </c>
      <c r="W15" s="84">
        <f t="shared" si="7"/>
        <v>5000</v>
      </c>
      <c r="X15" s="84">
        <f t="shared" si="8"/>
        <v>5500</v>
      </c>
      <c r="Y15" s="84">
        <f t="shared" si="9"/>
        <v>6000</v>
      </c>
      <c r="Z15" s="84">
        <f t="shared" si="10"/>
        <v>6500</v>
      </c>
      <c r="AA15" s="84">
        <f t="shared" si="11"/>
        <v>7000.0000000000009</v>
      </c>
      <c r="AB15" s="72">
        <f>InputsSummary!D36</f>
        <v>50000</v>
      </c>
      <c r="AC15" s="84">
        <f t="shared" si="12"/>
        <v>2000</v>
      </c>
      <c r="AD15" s="84">
        <f t="shared" si="13"/>
        <v>3000</v>
      </c>
      <c r="AE15" s="84">
        <f t="shared" si="14"/>
        <v>4000</v>
      </c>
      <c r="AF15" s="84">
        <f t="shared" si="15"/>
        <v>6000</v>
      </c>
      <c r="AG15" s="84">
        <f t="shared" si="16"/>
        <v>8000</v>
      </c>
      <c r="AH15" s="84">
        <f t="shared" si="16"/>
        <v>8000</v>
      </c>
      <c r="AI15" s="84">
        <f t="shared" si="17"/>
        <v>9000</v>
      </c>
      <c r="AJ15" s="84">
        <f t="shared" si="18"/>
        <v>10000</v>
      </c>
      <c r="AK15" s="84">
        <f t="shared" si="19"/>
        <v>11000</v>
      </c>
      <c r="AL15" s="84">
        <f t="shared" si="20"/>
        <v>12000</v>
      </c>
      <c r="AM15" s="84">
        <f t="shared" si="21"/>
        <v>13000</v>
      </c>
      <c r="AN15" s="84">
        <f t="shared" si="22"/>
        <v>14000.000000000002</v>
      </c>
      <c r="AO15" s="67">
        <f>InputsSummary!E36</f>
        <v>100000</v>
      </c>
      <c r="AP15" s="84">
        <f t="shared" si="23"/>
        <v>4000</v>
      </c>
      <c r="AQ15" s="84">
        <f t="shared" si="24"/>
        <v>6000</v>
      </c>
      <c r="AR15" s="84">
        <f t="shared" si="25"/>
        <v>8000</v>
      </c>
      <c r="AS15" s="84">
        <f t="shared" si="26"/>
        <v>12000</v>
      </c>
      <c r="AT15" s="84">
        <f t="shared" si="27"/>
        <v>16000</v>
      </c>
      <c r="AU15" s="84">
        <f t="shared" si="27"/>
        <v>16000</v>
      </c>
      <c r="AV15" s="84">
        <f t="shared" si="28"/>
        <v>18000</v>
      </c>
      <c r="AW15" s="84">
        <f t="shared" si="29"/>
        <v>20000</v>
      </c>
      <c r="AX15" s="84">
        <f t="shared" si="30"/>
        <v>22000</v>
      </c>
      <c r="AY15" s="84">
        <f t="shared" si="31"/>
        <v>24000</v>
      </c>
      <c r="AZ15" s="84">
        <f t="shared" si="32"/>
        <v>26000</v>
      </c>
      <c r="BA15" s="84">
        <f t="shared" si="33"/>
        <v>28000.000000000004</v>
      </c>
      <c r="BB15" s="67">
        <f>InputsSummary!F36</f>
        <v>200000</v>
      </c>
      <c r="BC15" s="84">
        <f t="shared" si="34"/>
        <v>7000</v>
      </c>
      <c r="BD15" s="84">
        <f t="shared" si="35"/>
        <v>10500</v>
      </c>
      <c r="BE15" s="84">
        <f t="shared" si="36"/>
        <v>14000</v>
      </c>
      <c r="BF15" s="84">
        <f t="shared" si="37"/>
        <v>21000</v>
      </c>
      <c r="BG15" s="84">
        <f t="shared" si="38"/>
        <v>28000</v>
      </c>
      <c r="BH15" s="84">
        <f t="shared" si="38"/>
        <v>28000</v>
      </c>
      <c r="BI15" s="84">
        <f t="shared" si="39"/>
        <v>31500</v>
      </c>
      <c r="BJ15" s="84">
        <f t="shared" si="40"/>
        <v>35000</v>
      </c>
      <c r="BK15" s="84">
        <f t="shared" si="41"/>
        <v>38500</v>
      </c>
      <c r="BL15" s="84">
        <f t="shared" si="42"/>
        <v>42000</v>
      </c>
      <c r="BM15" s="84">
        <f t="shared" si="43"/>
        <v>45500</v>
      </c>
      <c r="BN15" s="84">
        <f t="shared" si="44"/>
        <v>49000.000000000007</v>
      </c>
      <c r="BO15" s="67">
        <f>InputsSummary!G36</f>
        <v>350000</v>
      </c>
      <c r="BP15" s="84">
        <f t="shared" si="45"/>
        <v>10000</v>
      </c>
      <c r="BQ15" s="84">
        <f t="shared" si="46"/>
        <v>15000</v>
      </c>
      <c r="BR15" s="84">
        <f t="shared" si="47"/>
        <v>20000</v>
      </c>
      <c r="BS15" s="84">
        <f t="shared" si="48"/>
        <v>30000</v>
      </c>
      <c r="BT15" s="84">
        <f t="shared" si="49"/>
        <v>40000</v>
      </c>
      <c r="BU15" s="84">
        <f t="shared" si="49"/>
        <v>40000</v>
      </c>
      <c r="BV15" s="84">
        <f t="shared" si="50"/>
        <v>45000</v>
      </c>
      <c r="BW15" s="84">
        <f t="shared" si="51"/>
        <v>50000</v>
      </c>
      <c r="BX15" s="84">
        <f t="shared" si="52"/>
        <v>55000</v>
      </c>
      <c r="BY15" s="84">
        <f t="shared" si="53"/>
        <v>60000</v>
      </c>
      <c r="BZ15" s="84">
        <f t="shared" si="54"/>
        <v>65000</v>
      </c>
      <c r="CA15" s="84">
        <f t="shared" si="55"/>
        <v>70000</v>
      </c>
      <c r="CB15" s="67">
        <f>InputsSummary!H36</f>
        <v>500000</v>
      </c>
    </row>
    <row r="16" spans="2:80" x14ac:dyDescent="0.35">
      <c r="B16" s="11" t="s">
        <v>87</v>
      </c>
      <c r="C16" s="82">
        <f t="shared" si="56"/>
        <v>0</v>
      </c>
      <c r="D16" s="82">
        <f t="shared" si="56"/>
        <v>0</v>
      </c>
      <c r="E16" s="82">
        <f t="shared" si="56"/>
        <v>0</v>
      </c>
      <c r="F16" s="82">
        <f t="shared" si="56"/>
        <v>0</v>
      </c>
      <c r="G16" s="82">
        <f t="shared" si="56"/>
        <v>0</v>
      </c>
      <c r="H16" s="82">
        <f t="shared" si="57"/>
        <v>0</v>
      </c>
      <c r="I16" s="83">
        <f t="shared" si="58"/>
        <v>5000</v>
      </c>
      <c r="J16" s="83">
        <f t="shared" si="58"/>
        <v>5000</v>
      </c>
      <c r="K16" s="83">
        <f t="shared" si="58"/>
        <v>5000</v>
      </c>
      <c r="L16" s="83">
        <f t="shared" si="58"/>
        <v>5000</v>
      </c>
      <c r="M16" s="83">
        <f t="shared" si="58"/>
        <v>5000</v>
      </c>
      <c r="N16" s="83">
        <f t="shared" si="58"/>
        <v>5000</v>
      </c>
      <c r="O16" s="67">
        <f>InputsSummary!C37</f>
        <v>30000</v>
      </c>
      <c r="P16" s="84">
        <f t="shared" si="1"/>
        <v>900</v>
      </c>
      <c r="Q16" s="84">
        <f t="shared" si="2"/>
        <v>1350</v>
      </c>
      <c r="R16" s="84">
        <f t="shared" si="3"/>
        <v>1800</v>
      </c>
      <c r="S16" s="84">
        <f t="shared" si="4"/>
        <v>2700</v>
      </c>
      <c r="T16" s="84">
        <f t="shared" si="5"/>
        <v>3600</v>
      </c>
      <c r="U16" s="84">
        <f t="shared" si="5"/>
        <v>3600</v>
      </c>
      <c r="V16" s="84">
        <f t="shared" si="6"/>
        <v>4050</v>
      </c>
      <c r="W16" s="84">
        <f t="shared" si="7"/>
        <v>4500</v>
      </c>
      <c r="X16" s="84">
        <f t="shared" si="8"/>
        <v>4950</v>
      </c>
      <c r="Y16" s="84">
        <f t="shared" si="9"/>
        <v>5400</v>
      </c>
      <c r="Z16" s="84">
        <f t="shared" si="10"/>
        <v>5850</v>
      </c>
      <c r="AA16" s="84">
        <f t="shared" si="11"/>
        <v>6300.0000000000009</v>
      </c>
      <c r="AB16" s="72">
        <f>InputsSummary!D37</f>
        <v>45000</v>
      </c>
      <c r="AC16" s="84">
        <f t="shared" si="12"/>
        <v>1500</v>
      </c>
      <c r="AD16" s="84">
        <f t="shared" si="13"/>
        <v>2250</v>
      </c>
      <c r="AE16" s="84">
        <f t="shared" si="14"/>
        <v>3000</v>
      </c>
      <c r="AF16" s="84">
        <f t="shared" si="15"/>
        <v>4500</v>
      </c>
      <c r="AG16" s="84">
        <f t="shared" si="16"/>
        <v>6000</v>
      </c>
      <c r="AH16" s="84">
        <f t="shared" si="16"/>
        <v>6000</v>
      </c>
      <c r="AI16" s="84">
        <f t="shared" si="17"/>
        <v>6750</v>
      </c>
      <c r="AJ16" s="84">
        <f t="shared" si="18"/>
        <v>7500</v>
      </c>
      <c r="AK16" s="84">
        <f t="shared" si="19"/>
        <v>8250</v>
      </c>
      <c r="AL16" s="84">
        <f t="shared" si="20"/>
        <v>9000</v>
      </c>
      <c r="AM16" s="84">
        <f t="shared" si="21"/>
        <v>9750</v>
      </c>
      <c r="AN16" s="84">
        <f t="shared" si="22"/>
        <v>10500.000000000002</v>
      </c>
      <c r="AO16" s="67">
        <f>InputsSummary!E37</f>
        <v>75000</v>
      </c>
      <c r="AP16" s="84">
        <f t="shared" si="23"/>
        <v>2400</v>
      </c>
      <c r="AQ16" s="84">
        <f t="shared" si="24"/>
        <v>3600</v>
      </c>
      <c r="AR16" s="84">
        <f t="shared" si="25"/>
        <v>4800</v>
      </c>
      <c r="AS16" s="84">
        <f t="shared" si="26"/>
        <v>7200</v>
      </c>
      <c r="AT16" s="84">
        <f t="shared" si="27"/>
        <v>9600</v>
      </c>
      <c r="AU16" s="84">
        <f t="shared" si="27"/>
        <v>9600</v>
      </c>
      <c r="AV16" s="84">
        <f t="shared" si="28"/>
        <v>10800</v>
      </c>
      <c r="AW16" s="84">
        <f t="shared" si="29"/>
        <v>12000</v>
      </c>
      <c r="AX16" s="84">
        <f t="shared" si="30"/>
        <v>13200</v>
      </c>
      <c r="AY16" s="84">
        <f t="shared" si="31"/>
        <v>14400</v>
      </c>
      <c r="AZ16" s="84">
        <f t="shared" si="32"/>
        <v>15600</v>
      </c>
      <c r="BA16" s="84">
        <f t="shared" si="33"/>
        <v>16800</v>
      </c>
      <c r="BB16" s="67">
        <f>InputsSummary!F37</f>
        <v>120000</v>
      </c>
      <c r="BC16" s="84">
        <f t="shared" si="34"/>
        <v>3600</v>
      </c>
      <c r="BD16" s="84">
        <f t="shared" si="35"/>
        <v>5400</v>
      </c>
      <c r="BE16" s="84">
        <f t="shared" si="36"/>
        <v>7200</v>
      </c>
      <c r="BF16" s="84">
        <f t="shared" si="37"/>
        <v>10800</v>
      </c>
      <c r="BG16" s="84">
        <f t="shared" si="38"/>
        <v>14400</v>
      </c>
      <c r="BH16" s="84">
        <f t="shared" si="38"/>
        <v>14400</v>
      </c>
      <c r="BI16" s="84">
        <f t="shared" si="39"/>
        <v>16200</v>
      </c>
      <c r="BJ16" s="84">
        <f t="shared" si="40"/>
        <v>18000</v>
      </c>
      <c r="BK16" s="84">
        <f t="shared" si="41"/>
        <v>19800</v>
      </c>
      <c r="BL16" s="84">
        <f t="shared" si="42"/>
        <v>21600</v>
      </c>
      <c r="BM16" s="84">
        <f t="shared" si="43"/>
        <v>23400</v>
      </c>
      <c r="BN16" s="84">
        <f t="shared" si="44"/>
        <v>25200.000000000004</v>
      </c>
      <c r="BO16" s="67">
        <f>InputsSummary!G37</f>
        <v>180000</v>
      </c>
      <c r="BP16" s="84">
        <f t="shared" si="45"/>
        <v>4800</v>
      </c>
      <c r="BQ16" s="84">
        <f t="shared" si="46"/>
        <v>7200</v>
      </c>
      <c r="BR16" s="84">
        <f t="shared" si="47"/>
        <v>9600</v>
      </c>
      <c r="BS16" s="84">
        <f t="shared" si="48"/>
        <v>14400</v>
      </c>
      <c r="BT16" s="84">
        <f t="shared" si="49"/>
        <v>19200</v>
      </c>
      <c r="BU16" s="84">
        <f t="shared" si="49"/>
        <v>19200</v>
      </c>
      <c r="BV16" s="84">
        <f t="shared" si="50"/>
        <v>21600</v>
      </c>
      <c r="BW16" s="84">
        <f t="shared" si="51"/>
        <v>24000</v>
      </c>
      <c r="BX16" s="84">
        <f t="shared" si="52"/>
        <v>26400</v>
      </c>
      <c r="BY16" s="84">
        <f t="shared" si="53"/>
        <v>28800</v>
      </c>
      <c r="BZ16" s="84">
        <f t="shared" si="54"/>
        <v>31200</v>
      </c>
      <c r="CA16" s="84">
        <f t="shared" si="55"/>
        <v>33600</v>
      </c>
      <c r="CB16" s="67">
        <f>InputsSummary!H37</f>
        <v>240000</v>
      </c>
    </row>
    <row r="17" spans="2:80" x14ac:dyDescent="0.35">
      <c r="B17" s="11" t="s">
        <v>89</v>
      </c>
      <c r="C17" s="82">
        <f t="shared" si="56"/>
        <v>0</v>
      </c>
      <c r="D17" s="82">
        <f t="shared" si="56"/>
        <v>0</v>
      </c>
      <c r="E17" s="82">
        <f t="shared" si="56"/>
        <v>0</v>
      </c>
      <c r="F17" s="82">
        <f t="shared" si="56"/>
        <v>0</v>
      </c>
      <c r="G17" s="82">
        <f t="shared" si="56"/>
        <v>0</v>
      </c>
      <c r="H17" s="82">
        <f t="shared" si="57"/>
        <v>0</v>
      </c>
      <c r="I17" s="83">
        <f t="shared" si="58"/>
        <v>6666.666666666667</v>
      </c>
      <c r="J17" s="83">
        <f t="shared" si="58"/>
        <v>6666.666666666667</v>
      </c>
      <c r="K17" s="83">
        <f t="shared" si="58"/>
        <v>6666.666666666667</v>
      </c>
      <c r="L17" s="83">
        <f t="shared" si="58"/>
        <v>6666.666666666667</v>
      </c>
      <c r="M17" s="83">
        <f t="shared" si="58"/>
        <v>6666.666666666667</v>
      </c>
      <c r="N17" s="83">
        <f t="shared" si="58"/>
        <v>6666.666666666667</v>
      </c>
      <c r="O17" s="67">
        <f>InputsSummary!C38</f>
        <v>40000</v>
      </c>
      <c r="P17" s="84">
        <f t="shared" si="1"/>
        <v>1200</v>
      </c>
      <c r="Q17" s="84">
        <f t="shared" si="2"/>
        <v>1800</v>
      </c>
      <c r="R17" s="84">
        <f t="shared" si="3"/>
        <v>2400</v>
      </c>
      <c r="S17" s="84">
        <f t="shared" si="4"/>
        <v>3600</v>
      </c>
      <c r="T17" s="84">
        <f t="shared" si="5"/>
        <v>4800</v>
      </c>
      <c r="U17" s="84">
        <f t="shared" si="5"/>
        <v>4800</v>
      </c>
      <c r="V17" s="84">
        <f t="shared" si="6"/>
        <v>5400</v>
      </c>
      <c r="W17" s="84">
        <f t="shared" si="7"/>
        <v>6000</v>
      </c>
      <c r="X17" s="84">
        <f t="shared" si="8"/>
        <v>6600</v>
      </c>
      <c r="Y17" s="84">
        <f t="shared" si="9"/>
        <v>7200</v>
      </c>
      <c r="Z17" s="84">
        <f t="shared" si="10"/>
        <v>7800</v>
      </c>
      <c r="AA17" s="84">
        <f t="shared" si="11"/>
        <v>8400</v>
      </c>
      <c r="AB17" s="72">
        <f>InputsSummary!D38</f>
        <v>60000</v>
      </c>
      <c r="AC17" s="84">
        <f t="shared" si="12"/>
        <v>2000</v>
      </c>
      <c r="AD17" s="84">
        <f t="shared" si="13"/>
        <v>3000</v>
      </c>
      <c r="AE17" s="84">
        <f t="shared" si="14"/>
        <v>4000</v>
      </c>
      <c r="AF17" s="84">
        <f t="shared" si="15"/>
        <v>6000</v>
      </c>
      <c r="AG17" s="84">
        <f t="shared" si="16"/>
        <v>8000</v>
      </c>
      <c r="AH17" s="84">
        <f t="shared" si="16"/>
        <v>8000</v>
      </c>
      <c r="AI17" s="84">
        <f t="shared" si="17"/>
        <v>9000</v>
      </c>
      <c r="AJ17" s="84">
        <f t="shared" si="18"/>
        <v>10000</v>
      </c>
      <c r="AK17" s="84">
        <f t="shared" si="19"/>
        <v>11000</v>
      </c>
      <c r="AL17" s="84">
        <f t="shared" si="20"/>
        <v>12000</v>
      </c>
      <c r="AM17" s="84">
        <f t="shared" si="21"/>
        <v>13000</v>
      </c>
      <c r="AN17" s="84">
        <f t="shared" si="22"/>
        <v>14000.000000000002</v>
      </c>
      <c r="AO17" s="67">
        <f>InputsSummary!E38</f>
        <v>100000</v>
      </c>
      <c r="AP17" s="84">
        <f t="shared" si="23"/>
        <v>3000</v>
      </c>
      <c r="AQ17" s="84">
        <f t="shared" si="24"/>
        <v>4500</v>
      </c>
      <c r="AR17" s="84">
        <f t="shared" si="25"/>
        <v>6000</v>
      </c>
      <c r="AS17" s="84">
        <f t="shared" si="26"/>
        <v>9000</v>
      </c>
      <c r="AT17" s="84">
        <f t="shared" si="27"/>
        <v>12000</v>
      </c>
      <c r="AU17" s="84">
        <f t="shared" si="27"/>
        <v>12000</v>
      </c>
      <c r="AV17" s="84">
        <f t="shared" si="28"/>
        <v>13500</v>
      </c>
      <c r="AW17" s="84">
        <f t="shared" si="29"/>
        <v>15000</v>
      </c>
      <c r="AX17" s="84">
        <f t="shared" si="30"/>
        <v>16500</v>
      </c>
      <c r="AY17" s="84">
        <f t="shared" si="31"/>
        <v>18000</v>
      </c>
      <c r="AZ17" s="84">
        <f t="shared" si="32"/>
        <v>19500</v>
      </c>
      <c r="BA17" s="84">
        <f t="shared" si="33"/>
        <v>21000.000000000004</v>
      </c>
      <c r="BB17" s="67">
        <f>InputsSummary!F38</f>
        <v>150000</v>
      </c>
      <c r="BC17" s="84">
        <f t="shared" si="34"/>
        <v>4000</v>
      </c>
      <c r="BD17" s="84">
        <f t="shared" si="35"/>
        <v>6000</v>
      </c>
      <c r="BE17" s="84">
        <f t="shared" si="36"/>
        <v>8000</v>
      </c>
      <c r="BF17" s="84">
        <f t="shared" si="37"/>
        <v>12000</v>
      </c>
      <c r="BG17" s="84">
        <f t="shared" si="38"/>
        <v>16000</v>
      </c>
      <c r="BH17" s="84">
        <f t="shared" si="38"/>
        <v>16000</v>
      </c>
      <c r="BI17" s="84">
        <f t="shared" si="39"/>
        <v>18000</v>
      </c>
      <c r="BJ17" s="84">
        <f t="shared" si="40"/>
        <v>20000</v>
      </c>
      <c r="BK17" s="84">
        <f t="shared" si="41"/>
        <v>22000</v>
      </c>
      <c r="BL17" s="84">
        <f t="shared" si="42"/>
        <v>24000</v>
      </c>
      <c r="BM17" s="84">
        <f t="shared" si="43"/>
        <v>26000</v>
      </c>
      <c r="BN17" s="84">
        <f t="shared" si="44"/>
        <v>28000.000000000004</v>
      </c>
      <c r="BO17" s="67">
        <f>InputsSummary!G38</f>
        <v>200000</v>
      </c>
      <c r="BP17" s="84">
        <f t="shared" si="45"/>
        <v>5000</v>
      </c>
      <c r="BQ17" s="84">
        <f t="shared" si="46"/>
        <v>7500</v>
      </c>
      <c r="BR17" s="84">
        <f t="shared" si="47"/>
        <v>10000</v>
      </c>
      <c r="BS17" s="84">
        <f t="shared" si="48"/>
        <v>15000</v>
      </c>
      <c r="BT17" s="84">
        <f t="shared" si="49"/>
        <v>20000</v>
      </c>
      <c r="BU17" s="84">
        <f t="shared" si="49"/>
        <v>20000</v>
      </c>
      <c r="BV17" s="84">
        <f t="shared" si="50"/>
        <v>22500</v>
      </c>
      <c r="BW17" s="84">
        <f t="shared" si="51"/>
        <v>25000</v>
      </c>
      <c r="BX17" s="84">
        <f t="shared" si="52"/>
        <v>27500</v>
      </c>
      <c r="BY17" s="84">
        <f t="shared" si="53"/>
        <v>30000</v>
      </c>
      <c r="BZ17" s="84">
        <f t="shared" si="54"/>
        <v>32500</v>
      </c>
      <c r="CA17" s="84">
        <f t="shared" si="55"/>
        <v>35000</v>
      </c>
      <c r="CB17" s="67">
        <f>InputsSummary!H38</f>
        <v>250000</v>
      </c>
    </row>
    <row r="18" spans="2:80" x14ac:dyDescent="0.35">
      <c r="B18" s="11" t="s">
        <v>91</v>
      </c>
      <c r="C18" s="82">
        <f t="shared" si="56"/>
        <v>0</v>
      </c>
      <c r="D18" s="82">
        <f t="shared" si="56"/>
        <v>0</v>
      </c>
      <c r="E18" s="82">
        <f t="shared" si="56"/>
        <v>0</v>
      </c>
      <c r="F18" s="82">
        <f t="shared" si="56"/>
        <v>0</v>
      </c>
      <c r="G18" s="82">
        <f t="shared" si="56"/>
        <v>0</v>
      </c>
      <c r="H18" s="82">
        <f t="shared" si="57"/>
        <v>0</v>
      </c>
      <c r="I18" s="83">
        <f t="shared" si="58"/>
        <v>27166.666666666668</v>
      </c>
      <c r="J18" s="83">
        <f t="shared" si="58"/>
        <v>27166.666666666668</v>
      </c>
      <c r="K18" s="83">
        <f t="shared" si="58"/>
        <v>27166.666666666668</v>
      </c>
      <c r="L18" s="83">
        <f t="shared" si="58"/>
        <v>27166.666666666668</v>
      </c>
      <c r="M18" s="83">
        <f t="shared" si="58"/>
        <v>27166.666666666668</v>
      </c>
      <c r="N18" s="83">
        <f t="shared" si="58"/>
        <v>27166.666666666668</v>
      </c>
      <c r="O18" s="67">
        <f>InputsSummary!C39</f>
        <v>163000</v>
      </c>
      <c r="P18" s="84">
        <f t="shared" si="1"/>
        <v>6100</v>
      </c>
      <c r="Q18" s="84">
        <f t="shared" si="2"/>
        <v>9150</v>
      </c>
      <c r="R18" s="84">
        <f t="shared" si="3"/>
        <v>12200</v>
      </c>
      <c r="S18" s="84">
        <f t="shared" si="4"/>
        <v>18300</v>
      </c>
      <c r="T18" s="84">
        <f t="shared" si="5"/>
        <v>24400</v>
      </c>
      <c r="U18" s="84">
        <f t="shared" si="5"/>
        <v>24400</v>
      </c>
      <c r="V18" s="84">
        <f t="shared" si="6"/>
        <v>27450</v>
      </c>
      <c r="W18" s="84">
        <f t="shared" si="7"/>
        <v>30500</v>
      </c>
      <c r="X18" s="84">
        <f t="shared" si="8"/>
        <v>33550</v>
      </c>
      <c r="Y18" s="84">
        <f t="shared" si="9"/>
        <v>36600</v>
      </c>
      <c r="Z18" s="84">
        <f t="shared" si="10"/>
        <v>39650</v>
      </c>
      <c r="AA18" s="84">
        <f t="shared" si="11"/>
        <v>42700.000000000007</v>
      </c>
      <c r="AB18" s="72">
        <f>InputsSummary!D39</f>
        <v>305000</v>
      </c>
      <c r="AC18" s="84">
        <f t="shared" si="12"/>
        <v>10740</v>
      </c>
      <c r="AD18" s="84">
        <f t="shared" si="13"/>
        <v>16110</v>
      </c>
      <c r="AE18" s="84">
        <f t="shared" si="14"/>
        <v>21480</v>
      </c>
      <c r="AF18" s="84">
        <f t="shared" si="15"/>
        <v>32220</v>
      </c>
      <c r="AG18" s="84">
        <f t="shared" si="16"/>
        <v>42960</v>
      </c>
      <c r="AH18" s="84">
        <f t="shared" si="16"/>
        <v>42960</v>
      </c>
      <c r="AI18" s="84">
        <f t="shared" si="17"/>
        <v>48330</v>
      </c>
      <c r="AJ18" s="84">
        <f t="shared" si="18"/>
        <v>53700</v>
      </c>
      <c r="AK18" s="84">
        <f t="shared" si="19"/>
        <v>59070</v>
      </c>
      <c r="AL18" s="84">
        <f t="shared" si="20"/>
        <v>64440</v>
      </c>
      <c r="AM18" s="84">
        <f t="shared" si="21"/>
        <v>69810</v>
      </c>
      <c r="AN18" s="84">
        <f t="shared" si="22"/>
        <v>75180</v>
      </c>
      <c r="AO18" s="67">
        <f>InputsSummary!E39</f>
        <v>537000</v>
      </c>
      <c r="AP18" s="84">
        <f t="shared" si="23"/>
        <v>17160</v>
      </c>
      <c r="AQ18" s="84">
        <f t="shared" si="24"/>
        <v>25740</v>
      </c>
      <c r="AR18" s="84">
        <f t="shared" si="25"/>
        <v>34320</v>
      </c>
      <c r="AS18" s="84">
        <f t="shared" si="26"/>
        <v>51480</v>
      </c>
      <c r="AT18" s="84">
        <f t="shared" si="27"/>
        <v>68640</v>
      </c>
      <c r="AU18" s="84">
        <f t="shared" si="27"/>
        <v>68640</v>
      </c>
      <c r="AV18" s="84">
        <f t="shared" si="28"/>
        <v>77220</v>
      </c>
      <c r="AW18" s="84">
        <f t="shared" si="29"/>
        <v>85800</v>
      </c>
      <c r="AX18" s="84">
        <f t="shared" si="30"/>
        <v>94380</v>
      </c>
      <c r="AY18" s="84">
        <f t="shared" si="31"/>
        <v>102960</v>
      </c>
      <c r="AZ18" s="84">
        <f t="shared" si="32"/>
        <v>111540</v>
      </c>
      <c r="BA18" s="84">
        <f t="shared" si="33"/>
        <v>120120.00000000001</v>
      </c>
      <c r="BB18" s="67">
        <f>InputsSummary!F39</f>
        <v>858000</v>
      </c>
      <c r="BC18" s="84">
        <f t="shared" si="34"/>
        <v>26080</v>
      </c>
      <c r="BD18" s="84">
        <f t="shared" si="35"/>
        <v>39120</v>
      </c>
      <c r="BE18" s="84">
        <f t="shared" si="36"/>
        <v>52160</v>
      </c>
      <c r="BF18" s="84">
        <f t="shared" si="37"/>
        <v>78240</v>
      </c>
      <c r="BG18" s="84">
        <f t="shared" si="38"/>
        <v>104320</v>
      </c>
      <c r="BH18" s="84">
        <f t="shared" si="38"/>
        <v>104320</v>
      </c>
      <c r="BI18" s="84">
        <f t="shared" si="39"/>
        <v>117360</v>
      </c>
      <c r="BJ18" s="84">
        <f t="shared" si="40"/>
        <v>130400</v>
      </c>
      <c r="BK18" s="84">
        <f t="shared" si="41"/>
        <v>143440</v>
      </c>
      <c r="BL18" s="84">
        <f t="shared" si="42"/>
        <v>156480</v>
      </c>
      <c r="BM18" s="84">
        <f t="shared" si="43"/>
        <v>169520</v>
      </c>
      <c r="BN18" s="84">
        <f t="shared" si="44"/>
        <v>182560.00000000003</v>
      </c>
      <c r="BO18" s="67">
        <f>InputsSummary!G39</f>
        <v>1304000</v>
      </c>
      <c r="BP18" s="84">
        <f t="shared" si="45"/>
        <v>34960</v>
      </c>
      <c r="BQ18" s="84">
        <f t="shared" si="46"/>
        <v>52440</v>
      </c>
      <c r="BR18" s="84">
        <f t="shared" si="47"/>
        <v>69920</v>
      </c>
      <c r="BS18" s="84">
        <f t="shared" si="48"/>
        <v>104880</v>
      </c>
      <c r="BT18" s="84">
        <f t="shared" si="49"/>
        <v>139840</v>
      </c>
      <c r="BU18" s="84">
        <f t="shared" si="49"/>
        <v>139840</v>
      </c>
      <c r="BV18" s="84">
        <f t="shared" si="50"/>
        <v>157320</v>
      </c>
      <c r="BW18" s="84">
        <f t="shared" si="51"/>
        <v>174800</v>
      </c>
      <c r="BX18" s="84">
        <f t="shared" si="52"/>
        <v>192280</v>
      </c>
      <c r="BY18" s="84">
        <f t="shared" si="53"/>
        <v>209760</v>
      </c>
      <c r="BZ18" s="84">
        <f t="shared" si="54"/>
        <v>227240</v>
      </c>
      <c r="CA18" s="84">
        <f t="shared" si="55"/>
        <v>244720.00000000003</v>
      </c>
      <c r="CB18" s="67">
        <f>InputsSummary!H39</f>
        <v>1748000</v>
      </c>
    </row>
    <row r="19" spans="2:80" x14ac:dyDescent="0.35">
      <c r="B19" s="11" t="s">
        <v>132</v>
      </c>
      <c r="C19" s="75">
        <f t="shared" ref="C19:AH19" si="59">SUM(C12:C18)</f>
        <v>0</v>
      </c>
      <c r="D19" s="75">
        <f t="shared" si="59"/>
        <v>0</v>
      </c>
      <c r="E19" s="75">
        <f t="shared" si="59"/>
        <v>0</v>
      </c>
      <c r="F19" s="75">
        <f t="shared" si="59"/>
        <v>0</v>
      </c>
      <c r="G19" s="75">
        <f t="shared" si="59"/>
        <v>0</v>
      </c>
      <c r="H19" s="75">
        <f t="shared" si="59"/>
        <v>0</v>
      </c>
      <c r="I19" s="75">
        <f t="shared" si="59"/>
        <v>145500</v>
      </c>
      <c r="J19" s="75">
        <f t="shared" si="59"/>
        <v>147500</v>
      </c>
      <c r="K19" s="75">
        <f t="shared" si="59"/>
        <v>151500</v>
      </c>
      <c r="L19" s="75">
        <f t="shared" si="59"/>
        <v>154500</v>
      </c>
      <c r="M19" s="75">
        <f t="shared" si="59"/>
        <v>157500</v>
      </c>
      <c r="N19" s="76">
        <f t="shared" si="59"/>
        <v>162500</v>
      </c>
      <c r="O19" s="87">
        <f t="shared" si="59"/>
        <v>919000</v>
      </c>
      <c r="P19" s="75">
        <f t="shared" si="59"/>
        <v>40693.600000000006</v>
      </c>
      <c r="Q19" s="75">
        <f t="shared" si="59"/>
        <v>61040.4</v>
      </c>
      <c r="R19" s="75">
        <f t="shared" si="59"/>
        <v>81387.200000000012</v>
      </c>
      <c r="S19" s="75">
        <f t="shared" si="59"/>
        <v>122080.8</v>
      </c>
      <c r="T19" s="75">
        <f t="shared" si="59"/>
        <v>162774.40000000002</v>
      </c>
      <c r="U19" s="75">
        <f t="shared" si="59"/>
        <v>162774.40000000002</v>
      </c>
      <c r="V19" s="75">
        <f t="shared" si="59"/>
        <v>183121.2</v>
      </c>
      <c r="W19" s="75">
        <f t="shared" si="59"/>
        <v>203468</v>
      </c>
      <c r="X19" s="75">
        <f t="shared" si="59"/>
        <v>223814.8</v>
      </c>
      <c r="Y19" s="75">
        <f t="shared" si="59"/>
        <v>244161.6</v>
      </c>
      <c r="Z19" s="75">
        <f t="shared" si="59"/>
        <v>264508.40000000002</v>
      </c>
      <c r="AA19" s="76">
        <f t="shared" si="59"/>
        <v>284855.2</v>
      </c>
      <c r="AB19" s="88">
        <f t="shared" si="59"/>
        <v>2034680</v>
      </c>
      <c r="AC19" s="75">
        <f t="shared" si="59"/>
        <v>61797.343999999997</v>
      </c>
      <c r="AD19" s="75">
        <f t="shared" si="59"/>
        <v>92696.016000000003</v>
      </c>
      <c r="AE19" s="75">
        <f t="shared" si="59"/>
        <v>123594.68799999999</v>
      </c>
      <c r="AF19" s="75">
        <f t="shared" si="59"/>
        <v>185392.03200000001</v>
      </c>
      <c r="AG19" s="75">
        <f t="shared" si="59"/>
        <v>247189.37599999999</v>
      </c>
      <c r="AH19" s="75">
        <f t="shared" si="59"/>
        <v>247189.37599999999</v>
      </c>
      <c r="AI19" s="75">
        <f t="shared" ref="AI19:BN19" si="60">SUM(AI12:AI18)</f>
        <v>278088.04799999995</v>
      </c>
      <c r="AJ19" s="75">
        <f t="shared" si="60"/>
        <v>308986.71999999997</v>
      </c>
      <c r="AK19" s="75">
        <f t="shared" si="60"/>
        <v>339885.39199999999</v>
      </c>
      <c r="AL19" s="75">
        <f t="shared" si="60"/>
        <v>370784.06400000001</v>
      </c>
      <c r="AM19" s="75">
        <f t="shared" si="60"/>
        <v>401682.73600000003</v>
      </c>
      <c r="AN19" s="76">
        <f t="shared" si="60"/>
        <v>432581.40800000005</v>
      </c>
      <c r="AO19" s="87">
        <f t="shared" si="60"/>
        <v>3089867.2</v>
      </c>
      <c r="AP19" s="75">
        <f t="shared" si="60"/>
        <v>97391.637760000012</v>
      </c>
      <c r="AQ19" s="75">
        <f t="shared" si="60"/>
        <v>146087.45663999999</v>
      </c>
      <c r="AR19" s="75">
        <f t="shared" si="60"/>
        <v>194783.27552000002</v>
      </c>
      <c r="AS19" s="75">
        <f t="shared" si="60"/>
        <v>292174.91327999998</v>
      </c>
      <c r="AT19" s="75">
        <f t="shared" si="60"/>
        <v>389566.55104000005</v>
      </c>
      <c r="AU19" s="75">
        <f t="shared" si="60"/>
        <v>389566.55104000005</v>
      </c>
      <c r="AV19" s="75">
        <f t="shared" si="60"/>
        <v>438262.36992000003</v>
      </c>
      <c r="AW19" s="75">
        <f t="shared" si="60"/>
        <v>486958.1888</v>
      </c>
      <c r="AX19" s="75">
        <f t="shared" si="60"/>
        <v>535654.00768000004</v>
      </c>
      <c r="AY19" s="75">
        <f t="shared" si="60"/>
        <v>584349.82655999996</v>
      </c>
      <c r="AZ19" s="75">
        <f t="shared" si="60"/>
        <v>633045.64544000011</v>
      </c>
      <c r="BA19" s="76">
        <f t="shared" si="60"/>
        <v>681741.46432000014</v>
      </c>
      <c r="BB19" s="87">
        <f t="shared" si="60"/>
        <v>4869581.8880000003</v>
      </c>
      <c r="BC19" s="75">
        <f t="shared" si="60"/>
        <v>138996.90327040001</v>
      </c>
      <c r="BD19" s="75">
        <f t="shared" si="60"/>
        <v>208495.35490559999</v>
      </c>
      <c r="BE19" s="75">
        <f t="shared" si="60"/>
        <v>277993.80654080003</v>
      </c>
      <c r="BF19" s="75">
        <f t="shared" si="60"/>
        <v>416990.70981119998</v>
      </c>
      <c r="BG19" s="75">
        <f t="shared" si="60"/>
        <v>555987.61308160005</v>
      </c>
      <c r="BH19" s="75">
        <f t="shared" si="60"/>
        <v>555987.61308160005</v>
      </c>
      <c r="BI19" s="75">
        <f t="shared" si="60"/>
        <v>625486.0647168</v>
      </c>
      <c r="BJ19" s="75">
        <f t="shared" si="60"/>
        <v>694984.51635199995</v>
      </c>
      <c r="BK19" s="75">
        <f t="shared" si="60"/>
        <v>764482.96798720001</v>
      </c>
      <c r="BL19" s="75">
        <f t="shared" si="60"/>
        <v>833981.41962239996</v>
      </c>
      <c r="BM19" s="75">
        <f t="shared" si="60"/>
        <v>903479.87125760003</v>
      </c>
      <c r="BN19" s="76">
        <f t="shared" si="60"/>
        <v>972978.32289279997</v>
      </c>
      <c r="BO19" s="87">
        <f t="shared" ref="BO19:CT19" si="61">SUM(BO12:BO18)</f>
        <v>6949845.1635199999</v>
      </c>
      <c r="BP19" s="75">
        <f t="shared" si="61"/>
        <v>169373.579401216</v>
      </c>
      <c r="BQ19" s="75">
        <f t="shared" si="61"/>
        <v>254060.36910182401</v>
      </c>
      <c r="BR19" s="75">
        <f t="shared" si="61"/>
        <v>338747.15880243201</v>
      </c>
      <c r="BS19" s="75">
        <f t="shared" si="61"/>
        <v>508120.73820364801</v>
      </c>
      <c r="BT19" s="75">
        <f t="shared" si="61"/>
        <v>677494.31760486402</v>
      </c>
      <c r="BU19" s="75">
        <f t="shared" si="61"/>
        <v>677494.31760486402</v>
      </c>
      <c r="BV19" s="75">
        <f t="shared" si="61"/>
        <v>762181.10730547202</v>
      </c>
      <c r="BW19" s="75">
        <f t="shared" si="61"/>
        <v>846867.89700608002</v>
      </c>
      <c r="BX19" s="75">
        <f t="shared" si="61"/>
        <v>931554.68670668802</v>
      </c>
      <c r="BY19" s="75">
        <f t="shared" si="61"/>
        <v>1016241.476407296</v>
      </c>
      <c r="BZ19" s="75">
        <f t="shared" si="61"/>
        <v>1100928.266107904</v>
      </c>
      <c r="CA19" s="76">
        <f t="shared" si="61"/>
        <v>1185615.0558085123</v>
      </c>
      <c r="CB19" s="87">
        <f t="shared" si="61"/>
        <v>8468678.9700607993</v>
      </c>
    </row>
    <row r="20" spans="2:80" x14ac:dyDescent="0.35"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68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73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68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68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68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68"/>
    </row>
    <row r="21" spans="2:80" ht="15.5" x14ac:dyDescent="0.35">
      <c r="B21" s="24" t="s">
        <v>153</v>
      </c>
      <c r="C21" s="77">
        <f t="shared" ref="C21:AH21" si="62">C9-C19</f>
        <v>0</v>
      </c>
      <c r="D21" s="77">
        <f t="shared" si="62"/>
        <v>0</v>
      </c>
      <c r="E21" s="77">
        <f t="shared" si="62"/>
        <v>0</v>
      </c>
      <c r="F21" s="77">
        <f t="shared" si="62"/>
        <v>0</v>
      </c>
      <c r="G21" s="77">
        <f t="shared" si="62"/>
        <v>0</v>
      </c>
      <c r="H21" s="77">
        <f t="shared" si="62"/>
        <v>0</v>
      </c>
      <c r="I21" s="77">
        <f t="shared" si="62"/>
        <v>-145500</v>
      </c>
      <c r="J21" s="77">
        <f t="shared" si="62"/>
        <v>-147500</v>
      </c>
      <c r="K21" s="77">
        <f t="shared" si="62"/>
        <v>-151500</v>
      </c>
      <c r="L21" s="77">
        <f t="shared" si="62"/>
        <v>-154500</v>
      </c>
      <c r="M21" s="77">
        <f t="shared" si="62"/>
        <v>-157500</v>
      </c>
      <c r="N21" s="78">
        <f t="shared" si="62"/>
        <v>-162500</v>
      </c>
      <c r="O21" s="87">
        <f t="shared" si="62"/>
        <v>-919000</v>
      </c>
      <c r="P21" s="77">
        <f t="shared" si="62"/>
        <v>-27283.989756250005</v>
      </c>
      <c r="Q21" s="77">
        <f t="shared" si="62"/>
        <v>-40925.984634375003</v>
      </c>
      <c r="R21" s="77">
        <f t="shared" si="62"/>
        <v>-54567.979512500009</v>
      </c>
      <c r="S21" s="77">
        <f t="shared" si="62"/>
        <v>-81851.969268750006</v>
      </c>
      <c r="T21" s="77">
        <f t="shared" si="62"/>
        <v>-109135.95902500002</v>
      </c>
      <c r="U21" s="77">
        <f t="shared" si="62"/>
        <v>-109135.95902500002</v>
      </c>
      <c r="V21" s="77">
        <f t="shared" si="62"/>
        <v>-122777.95390312502</v>
      </c>
      <c r="W21" s="77">
        <f t="shared" si="62"/>
        <v>-136419.94878124999</v>
      </c>
      <c r="X21" s="77">
        <f t="shared" si="62"/>
        <v>-150061.94365937499</v>
      </c>
      <c r="Y21" s="77">
        <f t="shared" si="62"/>
        <v>-163703.93853750001</v>
      </c>
      <c r="Z21" s="77">
        <f t="shared" si="62"/>
        <v>-177345.93341562501</v>
      </c>
      <c r="AA21" s="78">
        <f t="shared" si="62"/>
        <v>-190987.92829374998</v>
      </c>
      <c r="AB21" s="88">
        <f t="shared" si="62"/>
        <v>-1364199.4878125</v>
      </c>
      <c r="AC21" s="77">
        <f t="shared" si="62"/>
        <v>-11872.468934374992</v>
      </c>
      <c r="AD21" s="77">
        <f t="shared" si="62"/>
        <v>-17808.703401562496</v>
      </c>
      <c r="AE21" s="77">
        <f t="shared" si="62"/>
        <v>-23744.937868749985</v>
      </c>
      <c r="AF21" s="77">
        <f t="shared" si="62"/>
        <v>-35617.406803124992</v>
      </c>
      <c r="AG21" s="77">
        <f t="shared" si="62"/>
        <v>-47489.87573749997</v>
      </c>
      <c r="AH21" s="77">
        <f t="shared" si="62"/>
        <v>-47489.87573749997</v>
      </c>
      <c r="AI21" s="77">
        <f t="shared" ref="AI21:BN21" si="63">AI9-AI19</f>
        <v>-53426.110204687458</v>
      </c>
      <c r="AJ21" s="77">
        <f t="shared" si="63"/>
        <v>-59362.344671874947</v>
      </c>
      <c r="AK21" s="77">
        <f t="shared" si="63"/>
        <v>-65298.579139062495</v>
      </c>
      <c r="AL21" s="77">
        <f t="shared" si="63"/>
        <v>-71234.813606249983</v>
      </c>
      <c r="AM21" s="77">
        <f t="shared" si="63"/>
        <v>-77171.048073437531</v>
      </c>
      <c r="AN21" s="78">
        <f t="shared" si="63"/>
        <v>-83107.282540625019</v>
      </c>
      <c r="AO21" s="87">
        <f t="shared" si="63"/>
        <v>-593623.44671875006</v>
      </c>
      <c r="AP21" s="77">
        <f t="shared" si="63"/>
        <v>43653.626060000039</v>
      </c>
      <c r="AQ21" s="77">
        <f t="shared" si="63"/>
        <v>65480.439090000087</v>
      </c>
      <c r="AR21" s="77">
        <f t="shared" si="63"/>
        <v>87307.252120000077</v>
      </c>
      <c r="AS21" s="77">
        <f t="shared" si="63"/>
        <v>130960.87818000017</v>
      </c>
      <c r="AT21" s="77">
        <f t="shared" si="63"/>
        <v>174614.50424000015</v>
      </c>
      <c r="AU21" s="77">
        <f t="shared" si="63"/>
        <v>174614.50424000015</v>
      </c>
      <c r="AV21" s="77">
        <f t="shared" si="63"/>
        <v>196441.31727000017</v>
      </c>
      <c r="AW21" s="77">
        <f t="shared" si="63"/>
        <v>218268.13030000031</v>
      </c>
      <c r="AX21" s="77">
        <f t="shared" si="63"/>
        <v>240094.94333000027</v>
      </c>
      <c r="AY21" s="77">
        <f t="shared" si="63"/>
        <v>261921.75636000035</v>
      </c>
      <c r="AZ21" s="77">
        <f t="shared" si="63"/>
        <v>283748.56939000019</v>
      </c>
      <c r="BA21" s="78">
        <f t="shared" si="63"/>
        <v>305575.38242000027</v>
      </c>
      <c r="BB21" s="87">
        <f t="shared" si="63"/>
        <v>2182681.3030000022</v>
      </c>
      <c r="BC21" s="77">
        <f t="shared" si="63"/>
        <v>144179.8344371001</v>
      </c>
      <c r="BD21" s="77">
        <f t="shared" si="63"/>
        <v>216269.75165565012</v>
      </c>
      <c r="BE21" s="77">
        <f t="shared" si="63"/>
        <v>288359.6688742002</v>
      </c>
      <c r="BF21" s="77">
        <f t="shared" si="63"/>
        <v>432539.50331130024</v>
      </c>
      <c r="BG21" s="77">
        <f t="shared" si="63"/>
        <v>576719.3377484004</v>
      </c>
      <c r="BH21" s="77">
        <f t="shared" si="63"/>
        <v>576719.3377484004</v>
      </c>
      <c r="BI21" s="77">
        <f t="shared" si="63"/>
        <v>648809.25496695039</v>
      </c>
      <c r="BJ21" s="77">
        <f t="shared" si="63"/>
        <v>720899.17218550062</v>
      </c>
      <c r="BK21" s="77">
        <f t="shared" si="63"/>
        <v>792989.08940405049</v>
      </c>
      <c r="BL21" s="77">
        <f t="shared" si="63"/>
        <v>865079.00662260049</v>
      </c>
      <c r="BM21" s="77">
        <f t="shared" si="63"/>
        <v>937168.92384115059</v>
      </c>
      <c r="BN21" s="78">
        <f t="shared" si="63"/>
        <v>1009258.8410597008</v>
      </c>
      <c r="BO21" s="87">
        <f t="shared" ref="BO21:CB21" si="64">BO9-BO19</f>
        <v>7208991.7218550043</v>
      </c>
      <c r="BP21" s="77">
        <f t="shared" si="64"/>
        <v>299954.01509878412</v>
      </c>
      <c r="BQ21" s="77">
        <f t="shared" si="64"/>
        <v>449931.02264817618</v>
      </c>
      <c r="BR21" s="77">
        <f t="shared" si="64"/>
        <v>599908.03019756824</v>
      </c>
      <c r="BS21" s="77">
        <f t="shared" si="64"/>
        <v>899862.04529635236</v>
      </c>
      <c r="BT21" s="77">
        <f t="shared" si="64"/>
        <v>1199816.0603951365</v>
      </c>
      <c r="BU21" s="77">
        <f t="shared" si="64"/>
        <v>1199816.0603951365</v>
      </c>
      <c r="BV21" s="77">
        <f t="shared" si="64"/>
        <v>1349793.0679445283</v>
      </c>
      <c r="BW21" s="77">
        <f t="shared" si="64"/>
        <v>1499770.0754939206</v>
      </c>
      <c r="BX21" s="77">
        <f t="shared" si="64"/>
        <v>1649747.0830433124</v>
      </c>
      <c r="BY21" s="77">
        <f t="shared" si="64"/>
        <v>1799724.0905927047</v>
      </c>
      <c r="BZ21" s="77">
        <f t="shared" si="64"/>
        <v>1949701.0981420965</v>
      </c>
      <c r="CA21" s="78">
        <f t="shared" si="64"/>
        <v>2099678.1056914888</v>
      </c>
      <c r="CB21" s="87">
        <f t="shared" si="64"/>
        <v>14997700.754939206</v>
      </c>
    </row>
    <row r="22" spans="2:80" ht="15.5" x14ac:dyDescent="0.35">
      <c r="B22" s="24" t="s">
        <v>230</v>
      </c>
      <c r="C22" s="77">
        <f>C21</f>
        <v>0</v>
      </c>
      <c r="D22" s="77">
        <f>C22+D21</f>
        <v>0</v>
      </c>
      <c r="E22" s="77">
        <f t="shared" ref="E22:N22" si="65">D22+E21</f>
        <v>0</v>
      </c>
      <c r="F22" s="77">
        <f t="shared" si="65"/>
        <v>0</v>
      </c>
      <c r="G22" s="77">
        <f t="shared" si="65"/>
        <v>0</v>
      </c>
      <c r="H22" s="77">
        <f t="shared" si="65"/>
        <v>0</v>
      </c>
      <c r="I22" s="77">
        <f t="shared" si="65"/>
        <v>-145500</v>
      </c>
      <c r="J22" s="77">
        <f t="shared" si="65"/>
        <v>-293000</v>
      </c>
      <c r="K22" s="77">
        <f t="shared" si="65"/>
        <v>-444500</v>
      </c>
      <c r="L22" s="77">
        <f t="shared" si="65"/>
        <v>-599000</v>
      </c>
      <c r="M22" s="77">
        <f t="shared" si="65"/>
        <v>-756500</v>
      </c>
      <c r="N22" s="77">
        <f t="shared" si="65"/>
        <v>-919000</v>
      </c>
      <c r="O22" s="87"/>
      <c r="P22" s="77">
        <f>P21</f>
        <v>-27283.989756250005</v>
      </c>
      <c r="Q22" s="77">
        <f>P22+Q21</f>
        <v>-68209.974390625008</v>
      </c>
      <c r="R22" s="77">
        <f t="shared" ref="R22" si="66">Q22+R21</f>
        <v>-122777.95390312502</v>
      </c>
      <c r="S22" s="77">
        <f t="shared" ref="S22" si="67">R22+S21</f>
        <v>-204629.92317187501</v>
      </c>
      <c r="T22" s="77">
        <f t="shared" ref="T22" si="68">S22+T21</f>
        <v>-313765.88219687506</v>
      </c>
      <c r="U22" s="77">
        <f t="shared" ref="U22" si="69">T22+U21</f>
        <v>-422901.84122187505</v>
      </c>
      <c r="V22" s="77">
        <f t="shared" ref="V22" si="70">U22+V21</f>
        <v>-545679.79512500006</v>
      </c>
      <c r="W22" s="77">
        <f t="shared" ref="W22" si="71">V22+W21</f>
        <v>-682099.74390624999</v>
      </c>
      <c r="X22" s="77">
        <f t="shared" ref="X22" si="72">W22+X21</f>
        <v>-832161.68756562495</v>
      </c>
      <c r="Y22" s="77">
        <f t="shared" ref="Y22" si="73">X22+Y21</f>
        <v>-995865.62610312493</v>
      </c>
      <c r="Z22" s="77">
        <f t="shared" ref="Z22" si="74">Y22+Z21</f>
        <v>-1173211.5595187498</v>
      </c>
      <c r="AA22" s="77">
        <f t="shared" ref="AA22" si="75">Z22+AA21</f>
        <v>-1364199.4878124997</v>
      </c>
      <c r="AB22" s="88"/>
      <c r="AC22" s="77">
        <f>AC21</f>
        <v>-11872.468934374992</v>
      </c>
      <c r="AD22" s="77">
        <f>AC22+AD21</f>
        <v>-29681.172335937488</v>
      </c>
      <c r="AE22" s="77">
        <f t="shared" ref="AE22" si="76">AD22+AE21</f>
        <v>-53426.110204687473</v>
      </c>
      <c r="AF22" s="77">
        <f t="shared" ref="AF22" si="77">AE22+AF21</f>
        <v>-89043.517007812465</v>
      </c>
      <c r="AG22" s="77">
        <f t="shared" ref="AG22" si="78">AF22+AG21</f>
        <v>-136533.39274531242</v>
      </c>
      <c r="AH22" s="77">
        <f t="shared" ref="AH22" si="79">AG22+AH21</f>
        <v>-184023.26848281239</v>
      </c>
      <c r="AI22" s="77">
        <f t="shared" ref="AI22" si="80">AH22+AI21</f>
        <v>-237449.37868749985</v>
      </c>
      <c r="AJ22" s="77">
        <f t="shared" ref="AJ22" si="81">AI22+AJ21</f>
        <v>-296811.7233593748</v>
      </c>
      <c r="AK22" s="77">
        <f t="shared" ref="AK22" si="82">AJ22+AK21</f>
        <v>-362110.30249843729</v>
      </c>
      <c r="AL22" s="77">
        <f t="shared" ref="AL22" si="83">AK22+AL21</f>
        <v>-433345.11610468727</v>
      </c>
      <c r="AM22" s="77">
        <f t="shared" ref="AM22" si="84">AL22+AM21</f>
        <v>-510516.1641781248</v>
      </c>
      <c r="AN22" s="77">
        <f t="shared" ref="AN22" si="85">AM22+AN21</f>
        <v>-593623.44671874982</v>
      </c>
      <c r="AO22" s="87"/>
      <c r="AP22" s="77">
        <f>AP21</f>
        <v>43653.626060000039</v>
      </c>
      <c r="AQ22" s="77">
        <f>AP22+AQ21</f>
        <v>109134.06515000013</v>
      </c>
      <c r="AR22" s="77">
        <f t="shared" ref="AR22" si="86">AQ22+AR21</f>
        <v>196441.3172700002</v>
      </c>
      <c r="AS22" s="77">
        <f t="shared" ref="AS22" si="87">AR22+AS21</f>
        <v>327402.19545000035</v>
      </c>
      <c r="AT22" s="77">
        <f t="shared" ref="AT22" si="88">AS22+AT21</f>
        <v>502016.6996900005</v>
      </c>
      <c r="AU22" s="77">
        <f t="shared" ref="AU22" si="89">AT22+AU21</f>
        <v>676631.20393000066</v>
      </c>
      <c r="AV22" s="77">
        <f t="shared" ref="AV22" si="90">AU22+AV21</f>
        <v>873072.52120000077</v>
      </c>
      <c r="AW22" s="77">
        <f t="shared" ref="AW22" si="91">AV22+AW21</f>
        <v>1091340.6515000011</v>
      </c>
      <c r="AX22" s="77">
        <f t="shared" ref="AX22" si="92">AW22+AX21</f>
        <v>1331435.5948300012</v>
      </c>
      <c r="AY22" s="77">
        <f t="shared" ref="AY22" si="93">AX22+AY21</f>
        <v>1593357.3511900017</v>
      </c>
      <c r="AZ22" s="77">
        <f t="shared" ref="AZ22" si="94">AY22+AZ21</f>
        <v>1877105.920580002</v>
      </c>
      <c r="BA22" s="77">
        <f t="shared" ref="BA22" si="95">AZ22+BA21</f>
        <v>2182681.3030000022</v>
      </c>
      <c r="BB22" s="87"/>
      <c r="BC22" s="77">
        <f>BC21</f>
        <v>144179.8344371001</v>
      </c>
      <c r="BD22" s="77">
        <f>BC22+BD21</f>
        <v>360449.58609275019</v>
      </c>
      <c r="BE22" s="77">
        <f t="shared" ref="BE22" si="96">BD22+BE21</f>
        <v>648809.25496695039</v>
      </c>
      <c r="BF22" s="77">
        <f t="shared" ref="BF22" si="97">BE22+BF21</f>
        <v>1081348.7582782507</v>
      </c>
      <c r="BG22" s="77">
        <f t="shared" ref="BG22" si="98">BF22+BG21</f>
        <v>1658068.0960266511</v>
      </c>
      <c r="BH22" s="77">
        <f t="shared" ref="BH22" si="99">BG22+BH21</f>
        <v>2234787.4337750515</v>
      </c>
      <c r="BI22" s="77">
        <f t="shared" ref="BI22" si="100">BH22+BI21</f>
        <v>2883596.688742002</v>
      </c>
      <c r="BJ22" s="77">
        <f t="shared" ref="BJ22" si="101">BI22+BJ21</f>
        <v>3604495.8609275026</v>
      </c>
      <c r="BK22" s="77">
        <f t="shared" ref="BK22" si="102">BJ22+BK21</f>
        <v>4397484.9503315529</v>
      </c>
      <c r="BL22" s="77">
        <f t="shared" ref="BL22" si="103">BK22+BL21</f>
        <v>5262563.9569541533</v>
      </c>
      <c r="BM22" s="77">
        <f t="shared" ref="BM22" si="104">BL22+BM21</f>
        <v>6199732.8807953037</v>
      </c>
      <c r="BN22" s="77">
        <f t="shared" ref="BN22" si="105">BM22+BN21</f>
        <v>7208991.7218550043</v>
      </c>
      <c r="BO22" s="87"/>
      <c r="BP22" s="77">
        <f>BP21</f>
        <v>299954.01509878412</v>
      </c>
      <c r="BQ22" s="77">
        <f>BP22+BQ21</f>
        <v>749885.0377469603</v>
      </c>
      <c r="BR22" s="77">
        <f t="shared" ref="BR22" si="106">BQ22+BR21</f>
        <v>1349793.0679445285</v>
      </c>
      <c r="BS22" s="77">
        <f t="shared" ref="BS22" si="107">BR22+BS21</f>
        <v>2249655.1132408809</v>
      </c>
      <c r="BT22" s="77">
        <f t="shared" ref="BT22" si="108">BS22+BT21</f>
        <v>3449471.1736360174</v>
      </c>
      <c r="BU22" s="77">
        <f t="shared" ref="BU22" si="109">BT22+BU21</f>
        <v>4649287.2340311538</v>
      </c>
      <c r="BV22" s="77">
        <f t="shared" ref="BV22" si="110">BU22+BV21</f>
        <v>5999080.3019756824</v>
      </c>
      <c r="BW22" s="77">
        <f t="shared" ref="BW22" si="111">BV22+BW21</f>
        <v>7498850.377469603</v>
      </c>
      <c r="BX22" s="77">
        <f t="shared" ref="BX22" si="112">BW22+BX21</f>
        <v>9148597.4605129156</v>
      </c>
      <c r="BY22" s="77">
        <f t="shared" ref="BY22" si="113">BX22+BY21</f>
        <v>10948321.55110562</v>
      </c>
      <c r="BZ22" s="77">
        <f t="shared" ref="BZ22" si="114">BY22+BZ21</f>
        <v>12898022.649247717</v>
      </c>
      <c r="CA22" s="77">
        <f t="shared" ref="CA22" si="115">BZ22+CA21</f>
        <v>14997700.754939206</v>
      </c>
      <c r="CB22" s="87"/>
    </row>
    <row r="23" spans="2:80" x14ac:dyDescent="0.35">
      <c r="B23" s="66" t="s">
        <v>112</v>
      </c>
      <c r="C23" s="89">
        <f t="shared" ref="C23:AH23" si="116">IF(C9&gt;0,C21/C9,0)</f>
        <v>0</v>
      </c>
      <c r="D23" s="89">
        <f t="shared" si="116"/>
        <v>0</v>
      </c>
      <c r="E23" s="89">
        <f t="shared" si="116"/>
        <v>0</v>
      </c>
      <c r="F23" s="89">
        <f t="shared" si="116"/>
        <v>0</v>
      </c>
      <c r="G23" s="89">
        <f t="shared" si="116"/>
        <v>0</v>
      </c>
      <c r="H23" s="89">
        <f t="shared" si="116"/>
        <v>0</v>
      </c>
      <c r="I23" s="89">
        <f t="shared" si="116"/>
        <v>0</v>
      </c>
      <c r="J23" s="89">
        <f t="shared" si="116"/>
        <v>0</v>
      </c>
      <c r="K23" s="89">
        <f t="shared" si="116"/>
        <v>0</v>
      </c>
      <c r="L23" s="89">
        <f t="shared" si="116"/>
        <v>0</v>
      </c>
      <c r="M23" s="89">
        <f t="shared" si="116"/>
        <v>0</v>
      </c>
      <c r="N23" s="90">
        <f t="shared" si="116"/>
        <v>0</v>
      </c>
      <c r="O23" s="79">
        <f t="shared" si="116"/>
        <v>0</v>
      </c>
      <c r="P23" s="89">
        <f t="shared" si="116"/>
        <v>-2.034659416664748</v>
      </c>
      <c r="Q23" s="89">
        <f t="shared" si="116"/>
        <v>-2.034659416664748</v>
      </c>
      <c r="R23" s="89">
        <f t="shared" si="116"/>
        <v>-2.034659416664748</v>
      </c>
      <c r="S23" s="89">
        <f t="shared" si="116"/>
        <v>-2.034659416664748</v>
      </c>
      <c r="T23" s="89">
        <f t="shared" si="116"/>
        <v>-2.034659416664748</v>
      </c>
      <c r="U23" s="89">
        <f t="shared" si="116"/>
        <v>-2.034659416664748</v>
      </c>
      <c r="V23" s="89">
        <f t="shared" si="116"/>
        <v>-2.034659416664748</v>
      </c>
      <c r="W23" s="89">
        <f t="shared" si="116"/>
        <v>-2.0346594166647476</v>
      </c>
      <c r="X23" s="89">
        <f t="shared" si="116"/>
        <v>-2.0346594166647476</v>
      </c>
      <c r="Y23" s="89">
        <f t="shared" si="116"/>
        <v>-2.034659416664748</v>
      </c>
      <c r="Z23" s="89">
        <f t="shared" si="116"/>
        <v>-2.0346594166647476</v>
      </c>
      <c r="AA23" s="90">
        <f t="shared" si="116"/>
        <v>-2.0346594166647471</v>
      </c>
      <c r="AB23" s="80">
        <f t="shared" si="116"/>
        <v>-2.0346594166647476</v>
      </c>
      <c r="AC23" s="89">
        <f t="shared" si="116"/>
        <v>-0.23780668291646054</v>
      </c>
      <c r="AD23" s="89">
        <f t="shared" si="116"/>
        <v>-0.23780668291646062</v>
      </c>
      <c r="AE23" s="89">
        <f t="shared" si="116"/>
        <v>-0.23780668291646054</v>
      </c>
      <c r="AF23" s="89">
        <f t="shared" si="116"/>
        <v>-0.23780668291646062</v>
      </c>
      <c r="AG23" s="89">
        <f t="shared" si="116"/>
        <v>-0.23780668291646054</v>
      </c>
      <c r="AH23" s="89">
        <f t="shared" si="116"/>
        <v>-0.23780668291646054</v>
      </c>
      <c r="AI23" s="89">
        <f t="shared" ref="AI23:BN23" si="117">IF(AI9&gt;0,AI21/AI9,0)</f>
        <v>-0.23780668291646054</v>
      </c>
      <c r="AJ23" s="89">
        <f t="shared" si="117"/>
        <v>-0.23780668291646048</v>
      </c>
      <c r="AK23" s="89">
        <f t="shared" si="117"/>
        <v>-0.2378066829164607</v>
      </c>
      <c r="AL23" s="89">
        <f t="shared" si="117"/>
        <v>-0.23780668291646062</v>
      </c>
      <c r="AM23" s="89">
        <f t="shared" si="117"/>
        <v>-0.23780668291646082</v>
      </c>
      <c r="AN23" s="90">
        <f t="shared" si="117"/>
        <v>-0.23780668291646073</v>
      </c>
      <c r="AO23" s="79">
        <f t="shared" si="117"/>
        <v>-0.23780668291646073</v>
      </c>
      <c r="AP23" s="89">
        <f t="shared" si="117"/>
        <v>0.30950082886661245</v>
      </c>
      <c r="AQ23" s="89">
        <f t="shared" si="117"/>
        <v>0.30950082886661257</v>
      </c>
      <c r="AR23" s="89">
        <f t="shared" si="117"/>
        <v>0.30950082886661245</v>
      </c>
      <c r="AS23" s="89">
        <f t="shared" si="117"/>
        <v>0.30950082886661257</v>
      </c>
      <c r="AT23" s="89">
        <f t="shared" si="117"/>
        <v>0.30950082886661245</v>
      </c>
      <c r="AU23" s="89">
        <f t="shared" si="117"/>
        <v>0.30950082886661245</v>
      </c>
      <c r="AV23" s="89">
        <f t="shared" si="117"/>
        <v>0.30950082886661245</v>
      </c>
      <c r="AW23" s="89">
        <f t="shared" si="117"/>
        <v>0.30950082886661257</v>
      </c>
      <c r="AX23" s="89">
        <f t="shared" si="117"/>
        <v>0.30950082886661251</v>
      </c>
      <c r="AY23" s="89">
        <f t="shared" si="117"/>
        <v>0.30950082886661257</v>
      </c>
      <c r="AZ23" s="89">
        <f t="shared" si="117"/>
        <v>0.3095008288666124</v>
      </c>
      <c r="BA23" s="90">
        <f t="shared" si="117"/>
        <v>0.3095008288666124</v>
      </c>
      <c r="BB23" s="79">
        <f t="shared" si="117"/>
        <v>0.30950082886661245</v>
      </c>
      <c r="BC23" s="89">
        <f t="shared" si="117"/>
        <v>0.50915140701291228</v>
      </c>
      <c r="BD23" s="89">
        <f t="shared" si="117"/>
        <v>0.50915140701291228</v>
      </c>
      <c r="BE23" s="89">
        <f t="shared" si="117"/>
        <v>0.50915140701291228</v>
      </c>
      <c r="BF23" s="89">
        <f t="shared" si="117"/>
        <v>0.50915140701291228</v>
      </c>
      <c r="BG23" s="89">
        <f t="shared" si="117"/>
        <v>0.50915140701291228</v>
      </c>
      <c r="BH23" s="89">
        <f t="shared" si="117"/>
        <v>0.50915140701291228</v>
      </c>
      <c r="BI23" s="89">
        <f t="shared" si="117"/>
        <v>0.50915140701291228</v>
      </c>
      <c r="BJ23" s="89">
        <f t="shared" si="117"/>
        <v>0.50915140701291239</v>
      </c>
      <c r="BK23" s="89">
        <f t="shared" si="117"/>
        <v>0.50915140701291228</v>
      </c>
      <c r="BL23" s="89">
        <f t="shared" si="117"/>
        <v>0.50915140701291228</v>
      </c>
      <c r="BM23" s="89">
        <f t="shared" si="117"/>
        <v>0.50915140701291228</v>
      </c>
      <c r="BN23" s="90">
        <f t="shared" si="117"/>
        <v>0.50915140701291239</v>
      </c>
      <c r="BO23" s="81">
        <f t="shared" ref="BO23:CB23" si="118">IF(BO9&gt;0,BO21/BO9,0)</f>
        <v>0.50915140701291228</v>
      </c>
      <c r="BP23" s="89">
        <f t="shared" si="118"/>
        <v>0.63911438111441377</v>
      </c>
      <c r="BQ23" s="89">
        <f t="shared" si="118"/>
        <v>0.63911438111441377</v>
      </c>
      <c r="BR23" s="89">
        <f t="shared" si="118"/>
        <v>0.63911438111441377</v>
      </c>
      <c r="BS23" s="89">
        <f t="shared" si="118"/>
        <v>0.63911438111441377</v>
      </c>
      <c r="BT23" s="89">
        <f t="shared" si="118"/>
        <v>0.63911438111441377</v>
      </c>
      <c r="BU23" s="89">
        <f t="shared" si="118"/>
        <v>0.63911438111441377</v>
      </c>
      <c r="BV23" s="89">
        <f t="shared" si="118"/>
        <v>0.63911438111441377</v>
      </c>
      <c r="BW23" s="89">
        <f t="shared" si="118"/>
        <v>0.63911438111441377</v>
      </c>
      <c r="BX23" s="89">
        <f t="shared" si="118"/>
        <v>0.63911438111441377</v>
      </c>
      <c r="BY23" s="89">
        <f t="shared" si="118"/>
        <v>0.63911438111441377</v>
      </c>
      <c r="BZ23" s="89">
        <f t="shared" si="118"/>
        <v>0.63911438111441377</v>
      </c>
      <c r="CA23" s="90">
        <f t="shared" si="118"/>
        <v>0.63911438111441377</v>
      </c>
      <c r="CB23" s="81">
        <f t="shared" si="118"/>
        <v>0.63911438111441377</v>
      </c>
    </row>
    <row r="24" spans="2:80" x14ac:dyDescent="0.35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68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73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68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68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68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68"/>
    </row>
    <row r="25" spans="2:80" x14ac:dyDescent="0.35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68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73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68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68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68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68"/>
    </row>
    <row r="26" spans="2:80" x14ac:dyDescent="0.3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68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73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68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68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68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68"/>
    </row>
    <row r="27" spans="2:80" x14ac:dyDescent="0.35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68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73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68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68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68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68"/>
    </row>
    <row r="28" spans="2:80" x14ac:dyDescent="0.35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68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73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68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68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68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68"/>
    </row>
    <row r="29" spans="2:80" x14ac:dyDescent="0.35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68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73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68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68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68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68"/>
    </row>
    <row r="30" spans="2:80" x14ac:dyDescent="0.3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68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73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68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68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68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68"/>
    </row>
    <row r="31" spans="2:80" x14ac:dyDescent="0.3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68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73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68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68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68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68"/>
    </row>
  </sheetData>
  <mergeCells count="2">
    <mergeCell ref="B6:CB6"/>
    <mergeCell ref="C4:H4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4102-3EE3-49A4-B880-6097759FA383}">
  <sheetPr>
    <tabColor rgb="FF92D050"/>
  </sheetPr>
  <dimension ref="B2:H22"/>
  <sheetViews>
    <sheetView workbookViewId="0">
      <selection sqref="A1:A1048576"/>
    </sheetView>
  </sheetViews>
  <sheetFormatPr baseColWidth="10" defaultColWidth="8.7265625" defaultRowHeight="14.5" x14ac:dyDescent="0.35"/>
  <cols>
    <col min="1" max="1" width="2" customWidth="1"/>
    <col min="2" max="2" width="28" customWidth="1"/>
    <col min="3" max="8" width="14" customWidth="1"/>
  </cols>
  <sheetData>
    <row r="2" spans="2:8" ht="23.5" x14ac:dyDescent="0.55000000000000004">
      <c r="B2" s="1" t="s">
        <v>144</v>
      </c>
    </row>
    <row r="6" spans="2:8" ht="15.5" x14ac:dyDescent="0.35">
      <c r="B6" s="124" t="s">
        <v>145</v>
      </c>
      <c r="C6" s="124"/>
      <c r="D6" s="120"/>
      <c r="E6" s="120"/>
      <c r="F6" s="120"/>
      <c r="G6" s="120"/>
      <c r="H6" s="120"/>
    </row>
    <row r="7" spans="2:8" x14ac:dyDescent="0.35">
      <c r="B7" s="17"/>
      <c r="C7" s="18">
        <v>2026</v>
      </c>
      <c r="D7" s="18">
        <v>2027</v>
      </c>
      <c r="E7" s="18">
        <v>2028</v>
      </c>
      <c r="F7" s="18">
        <v>2029</v>
      </c>
      <c r="G7" s="18">
        <v>2030</v>
      </c>
      <c r="H7" s="18">
        <v>2031</v>
      </c>
    </row>
    <row r="8" spans="2:8" x14ac:dyDescent="0.35">
      <c r="B8" s="23" t="s">
        <v>146</v>
      </c>
    </row>
    <row r="9" spans="2:8" x14ac:dyDescent="0.35">
      <c r="B9" s="12" t="s">
        <v>147</v>
      </c>
      <c r="C9" s="29">
        <f>Revenue!D28</f>
        <v>0</v>
      </c>
      <c r="D9" s="29">
        <f>Revenue!E28</f>
        <v>670480.51218750002</v>
      </c>
      <c r="E9" s="29">
        <f>Revenue!F28</f>
        <v>2496243.7532812501</v>
      </c>
      <c r="F9" s="29">
        <f>Revenue!G28</f>
        <v>7052263.1910000024</v>
      </c>
      <c r="G9" s="29">
        <f>Revenue!H28</f>
        <v>14158836.885375004</v>
      </c>
      <c r="H9" s="29">
        <f>Revenue!I28</f>
        <v>23466379.725000005</v>
      </c>
    </row>
    <row r="10" spans="2:8" x14ac:dyDescent="0.35">
      <c r="C10" s="31"/>
      <c r="D10" s="31"/>
      <c r="E10" s="31"/>
      <c r="F10" s="31"/>
      <c r="G10" s="31"/>
      <c r="H10" s="31"/>
    </row>
    <row r="11" spans="2:8" x14ac:dyDescent="0.35">
      <c r="B11" s="23" t="s">
        <v>148</v>
      </c>
      <c r="C11" s="31"/>
      <c r="D11" s="31"/>
      <c r="E11" s="31"/>
      <c r="F11" s="31"/>
      <c r="G11" s="31"/>
      <c r="H11" s="31"/>
    </row>
    <row r="12" spans="2:8" x14ac:dyDescent="0.35">
      <c r="B12" s="11" t="s">
        <v>149</v>
      </c>
      <c r="C12" s="29">
        <f>InputsSummary!C33</f>
        <v>100000</v>
      </c>
      <c r="D12" s="29">
        <f>InputsSummary!D33</f>
        <v>300000</v>
      </c>
      <c r="E12" s="29">
        <f>InputsSummary!E33</f>
        <v>630000</v>
      </c>
      <c r="F12" s="29">
        <f>InputsSummary!F33</f>
        <v>1260000</v>
      </c>
      <c r="G12" s="29">
        <f>InputsSummary!G33</f>
        <v>2100000</v>
      </c>
      <c r="H12" s="29">
        <f>InputsSummary!H33</f>
        <v>2600000</v>
      </c>
    </row>
    <row r="13" spans="2:8" x14ac:dyDescent="0.35">
      <c r="B13" s="11" t="s">
        <v>150</v>
      </c>
      <c r="C13" s="29">
        <f>InputsSummary!C34</f>
        <v>546000</v>
      </c>
      <c r="D13" s="29">
        <f>InputsSummary!D34</f>
        <v>1239680</v>
      </c>
      <c r="E13" s="29">
        <f>InputsSummary!E34</f>
        <v>1572867.2</v>
      </c>
      <c r="F13" s="29">
        <f>InputsSummary!F34</f>
        <v>2131581.8880000003</v>
      </c>
      <c r="G13" s="29">
        <f>InputsSummary!G34</f>
        <v>2515845.1635199999</v>
      </c>
      <c r="H13" s="29">
        <f>InputsSummary!H34</f>
        <v>2530678.9700608002</v>
      </c>
    </row>
    <row r="14" spans="2:8" x14ac:dyDescent="0.35">
      <c r="B14" s="11" t="s">
        <v>151</v>
      </c>
      <c r="C14" s="29">
        <f>InputsSummary!C35</f>
        <v>15000</v>
      </c>
      <c r="D14" s="29">
        <f>InputsSummary!D35</f>
        <v>35000</v>
      </c>
      <c r="E14" s="29">
        <f>InputsSummary!E35</f>
        <v>75000</v>
      </c>
      <c r="F14" s="29">
        <f>InputsSummary!F35</f>
        <v>150000</v>
      </c>
      <c r="G14" s="29">
        <f>InputsSummary!G35</f>
        <v>300000</v>
      </c>
      <c r="H14" s="29">
        <f>InputsSummary!H35</f>
        <v>600000</v>
      </c>
    </row>
    <row r="15" spans="2:8" x14ac:dyDescent="0.35">
      <c r="B15" s="11" t="s">
        <v>85</v>
      </c>
      <c r="C15" s="29">
        <f>InputsSummary!C36</f>
        <v>25000</v>
      </c>
      <c r="D15" s="29">
        <f>InputsSummary!D36</f>
        <v>50000</v>
      </c>
      <c r="E15" s="29">
        <f>InputsSummary!E36</f>
        <v>100000</v>
      </c>
      <c r="F15" s="29">
        <f>InputsSummary!F36</f>
        <v>200000</v>
      </c>
      <c r="G15" s="29">
        <f>InputsSummary!G36</f>
        <v>350000</v>
      </c>
      <c r="H15" s="29">
        <f>InputsSummary!H36</f>
        <v>500000</v>
      </c>
    </row>
    <row r="16" spans="2:8" x14ac:dyDescent="0.35">
      <c r="B16" s="11" t="s">
        <v>89</v>
      </c>
      <c r="C16" s="29">
        <f>InputsSummary!C38</f>
        <v>40000</v>
      </c>
      <c r="D16" s="29">
        <f>InputsSummary!D38</f>
        <v>60000</v>
      </c>
      <c r="E16" s="29">
        <f>InputsSummary!E38</f>
        <v>100000</v>
      </c>
      <c r="F16" s="29">
        <f>InputsSummary!F38</f>
        <v>150000</v>
      </c>
      <c r="G16" s="29">
        <f>InputsSummary!G38</f>
        <v>200000</v>
      </c>
      <c r="H16" s="29">
        <f>InputsSummary!H38</f>
        <v>250000</v>
      </c>
    </row>
    <row r="17" spans="2:8" x14ac:dyDescent="0.35">
      <c r="B17" s="11" t="s">
        <v>152</v>
      </c>
      <c r="C17" s="29">
        <f>InputsSummary!C37</f>
        <v>30000</v>
      </c>
      <c r="D17" s="29">
        <f>InputsSummary!D37</f>
        <v>45000</v>
      </c>
      <c r="E17" s="29">
        <f>InputsSummary!E37</f>
        <v>75000</v>
      </c>
      <c r="F17" s="29">
        <f>InputsSummary!F37</f>
        <v>120000</v>
      </c>
      <c r="G17" s="29">
        <f>InputsSummary!G37</f>
        <v>180000</v>
      </c>
      <c r="H17" s="29">
        <f>InputsSummary!H37</f>
        <v>240000</v>
      </c>
    </row>
    <row r="18" spans="2:8" x14ac:dyDescent="0.35">
      <c r="B18" s="11" t="s">
        <v>91</v>
      </c>
      <c r="C18" s="29">
        <f>InputsSummary!C39</f>
        <v>163000</v>
      </c>
      <c r="D18" s="29">
        <f>InputsSummary!D39</f>
        <v>305000</v>
      </c>
      <c r="E18" s="29">
        <f>InputsSummary!E39</f>
        <v>537000</v>
      </c>
      <c r="F18" s="29">
        <f>InputsSummary!F39</f>
        <v>858000</v>
      </c>
      <c r="G18" s="29">
        <f>InputsSummary!G39</f>
        <v>1304000</v>
      </c>
      <c r="H18" s="29">
        <f>InputsSummary!H39</f>
        <v>1748000</v>
      </c>
    </row>
    <row r="19" spans="2:8" x14ac:dyDescent="0.35">
      <c r="B19" s="11" t="s">
        <v>132</v>
      </c>
      <c r="C19" s="29">
        <f t="shared" ref="C19:H19" si="0">SUM(C12:C18)</f>
        <v>919000</v>
      </c>
      <c r="D19" s="29">
        <f t="shared" si="0"/>
        <v>2034680</v>
      </c>
      <c r="E19" s="29">
        <f t="shared" si="0"/>
        <v>3089867.2</v>
      </c>
      <c r="F19" s="29">
        <f t="shared" si="0"/>
        <v>4869581.8880000003</v>
      </c>
      <c r="G19" s="29">
        <f t="shared" si="0"/>
        <v>6949845.1635199999</v>
      </c>
      <c r="H19" s="29">
        <f t="shared" si="0"/>
        <v>8468678.9700607993</v>
      </c>
    </row>
    <row r="21" spans="2:8" ht="15.5" x14ac:dyDescent="0.35">
      <c r="B21" s="24" t="s">
        <v>153</v>
      </c>
      <c r="C21" s="29">
        <f t="shared" ref="C21:H21" si="1">C9-C19</f>
        <v>-919000</v>
      </c>
      <c r="D21" s="29">
        <f t="shared" si="1"/>
        <v>-1364199.4878125</v>
      </c>
      <c r="E21" s="29">
        <f t="shared" si="1"/>
        <v>-593623.44671875006</v>
      </c>
      <c r="F21" s="29">
        <f t="shared" si="1"/>
        <v>2182681.3030000022</v>
      </c>
      <c r="G21" s="29">
        <f t="shared" si="1"/>
        <v>7208991.7218550043</v>
      </c>
      <c r="H21" s="29">
        <f t="shared" si="1"/>
        <v>14997700.754939206</v>
      </c>
    </row>
    <row r="22" spans="2:8" x14ac:dyDescent="0.35">
      <c r="B22" s="11" t="s">
        <v>112</v>
      </c>
      <c r="C22" s="14">
        <f t="shared" ref="C22:H22" si="2">IF(C9&gt;0,C21/C9,0)</f>
        <v>0</v>
      </c>
      <c r="D22" s="14">
        <f t="shared" si="2"/>
        <v>-2.0346594166647476</v>
      </c>
      <c r="E22" s="14">
        <f t="shared" si="2"/>
        <v>-0.23780668291646073</v>
      </c>
      <c r="F22" s="14">
        <f t="shared" si="2"/>
        <v>0.30950082886661245</v>
      </c>
      <c r="G22" s="14">
        <f t="shared" si="2"/>
        <v>0.50915140701291228</v>
      </c>
      <c r="H22" s="14">
        <f t="shared" si="2"/>
        <v>0.63911438111441377</v>
      </c>
    </row>
  </sheetData>
  <mergeCells count="1">
    <mergeCell ref="B6:H6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E82B8-D3D1-45D3-95C6-218FC0CA2CD5}">
  <sheetPr>
    <tabColor rgb="FF065F46"/>
  </sheetPr>
  <dimension ref="A1:I24"/>
  <sheetViews>
    <sheetView topLeftCell="A6" workbookViewId="0">
      <selection activeCell="G23" sqref="G23"/>
    </sheetView>
  </sheetViews>
  <sheetFormatPr baseColWidth="10" defaultColWidth="8.7265625" defaultRowHeight="14.5" x14ac:dyDescent="0.35"/>
  <cols>
    <col min="1" max="1" width="2" customWidth="1"/>
    <col min="2" max="3" width="28" customWidth="1"/>
    <col min="4" max="8" width="14" customWidth="1"/>
    <col min="9" max="9" width="13.6328125" bestFit="1" customWidth="1"/>
  </cols>
  <sheetData>
    <row r="1" spans="1:9" x14ac:dyDescent="0.35">
      <c r="A1" t="s">
        <v>263</v>
      </c>
    </row>
    <row r="2" spans="1:9" ht="23.5" x14ac:dyDescent="0.55000000000000004">
      <c r="A2" t="s">
        <v>263</v>
      </c>
      <c r="B2" s="1" t="s">
        <v>156</v>
      </c>
      <c r="C2" s="1"/>
    </row>
    <row r="3" spans="1:9" x14ac:dyDescent="0.35">
      <c r="A3" t="s">
        <v>263</v>
      </c>
    </row>
    <row r="4" spans="1:9" x14ac:dyDescent="0.35">
      <c r="A4" t="s">
        <v>263</v>
      </c>
    </row>
    <row r="5" spans="1:9" x14ac:dyDescent="0.35">
      <c r="A5" t="s">
        <v>263</v>
      </c>
    </row>
    <row r="6" spans="1:9" ht="15.5" x14ac:dyDescent="0.35">
      <c r="A6" t="s">
        <v>263</v>
      </c>
      <c r="B6" s="130" t="s">
        <v>157</v>
      </c>
      <c r="C6" s="130"/>
      <c r="D6" s="130"/>
      <c r="E6" s="130"/>
      <c r="F6" s="130"/>
      <c r="G6" s="130"/>
      <c r="H6" s="130"/>
      <c r="I6" s="130"/>
    </row>
    <row r="7" spans="1:9" x14ac:dyDescent="0.35">
      <c r="A7" t="s">
        <v>263</v>
      </c>
      <c r="B7" s="17"/>
      <c r="C7" s="17"/>
      <c r="D7" s="18">
        <v>2026</v>
      </c>
      <c r="E7" s="18">
        <v>2027</v>
      </c>
      <c r="F7" s="18">
        <v>2028</v>
      </c>
      <c r="G7" s="18">
        <v>2029</v>
      </c>
      <c r="H7" s="18">
        <v>2030</v>
      </c>
      <c r="I7" s="18">
        <v>2031</v>
      </c>
    </row>
    <row r="8" spans="1:9" x14ac:dyDescent="0.35">
      <c r="A8" t="s">
        <v>263</v>
      </c>
      <c r="B8" s="12" t="s">
        <v>153</v>
      </c>
      <c r="C8" s="12"/>
      <c r="D8" s="29">
        <f>PLAnnualSummary!C21</f>
        <v>-919000</v>
      </c>
      <c r="E8" s="29">
        <f>PLAnnualSummary!D21</f>
        <v>-1364199.4878125</v>
      </c>
      <c r="F8" s="29">
        <f>PLAnnualSummary!E21</f>
        <v>-593623.44671875006</v>
      </c>
      <c r="G8" s="29">
        <f>PLAnnualSummary!F21</f>
        <v>2182681.3030000022</v>
      </c>
      <c r="H8" s="29">
        <f>PLAnnualSummary!G21</f>
        <v>7208991.7218550043</v>
      </c>
      <c r="I8" s="29">
        <f>PLAnnualSummary!H21</f>
        <v>14997700.754939206</v>
      </c>
    </row>
    <row r="9" spans="1:9" x14ac:dyDescent="0.35">
      <c r="A9" t="s">
        <v>263</v>
      </c>
      <c r="B9" s="12" t="s">
        <v>158</v>
      </c>
      <c r="C9" s="12"/>
      <c r="D9" s="29">
        <f t="shared" ref="D9:I9" si="0">D8</f>
        <v>-919000</v>
      </c>
      <c r="E9" s="29">
        <f t="shared" si="0"/>
        <v>-1364199.4878125</v>
      </c>
      <c r="F9" s="29">
        <f t="shared" si="0"/>
        <v>-593623.44671875006</v>
      </c>
      <c r="G9" s="29">
        <f t="shared" si="0"/>
        <v>2182681.3030000022</v>
      </c>
      <c r="H9" s="29">
        <f t="shared" si="0"/>
        <v>7208991.7218550043</v>
      </c>
      <c r="I9" s="29">
        <f t="shared" si="0"/>
        <v>14997700.754939206</v>
      </c>
    </row>
    <row r="10" spans="1:9" x14ac:dyDescent="0.35">
      <c r="A10" t="s">
        <v>263</v>
      </c>
      <c r="D10" s="31"/>
      <c r="E10" s="31"/>
      <c r="F10" s="31"/>
      <c r="G10" s="31"/>
      <c r="H10" s="31"/>
    </row>
    <row r="11" spans="1:9" x14ac:dyDescent="0.35">
      <c r="A11" t="s">
        <v>263</v>
      </c>
      <c r="B11" s="12" t="s">
        <v>217</v>
      </c>
      <c r="C11" s="55">
        <v>0.05</v>
      </c>
      <c r="D11" s="29">
        <f t="shared" ref="D11:I11" si="1">-$C11*D16</f>
        <v>-90000</v>
      </c>
      <c r="E11" s="29">
        <f t="shared" si="1"/>
        <v>-100000</v>
      </c>
      <c r="F11" s="29">
        <f t="shared" si="1"/>
        <v>-200000</v>
      </c>
      <c r="G11" s="29">
        <f t="shared" si="1"/>
        <v>0</v>
      </c>
      <c r="H11" s="29">
        <f t="shared" si="1"/>
        <v>0</v>
      </c>
      <c r="I11" s="29">
        <f t="shared" si="1"/>
        <v>0</v>
      </c>
    </row>
    <row r="12" spans="1:9" x14ac:dyDescent="0.35">
      <c r="A12" t="s">
        <v>263</v>
      </c>
      <c r="D12" s="31"/>
      <c r="E12" s="31"/>
      <c r="F12" s="31"/>
      <c r="G12" s="31"/>
      <c r="H12" s="31"/>
    </row>
    <row r="13" spans="1:9" x14ac:dyDescent="0.35">
      <c r="A13" t="s">
        <v>263</v>
      </c>
      <c r="B13" s="12" t="s">
        <v>96</v>
      </c>
      <c r="C13" s="12"/>
      <c r="D13" s="29">
        <f>InputsDetails!D96</f>
        <v>1800000</v>
      </c>
      <c r="E13" s="29">
        <f>InputsDetails!E96</f>
        <v>0</v>
      </c>
      <c r="F13" s="29">
        <f>InputsDetails!F96</f>
        <v>0</v>
      </c>
      <c r="G13" s="29">
        <f>InputsDetails!G96</f>
        <v>0</v>
      </c>
      <c r="H13" s="29">
        <f>InputsDetails!H96</f>
        <v>0</v>
      </c>
      <c r="I13" s="29">
        <f>InputsDetails!I96</f>
        <v>0</v>
      </c>
    </row>
    <row r="14" spans="1:9" x14ac:dyDescent="0.35">
      <c r="A14" t="s">
        <v>263</v>
      </c>
      <c r="B14" s="12" t="s">
        <v>97</v>
      </c>
      <c r="C14" s="12"/>
      <c r="D14" s="29">
        <f>InputsDetails!D97</f>
        <v>0</v>
      </c>
      <c r="E14" s="29">
        <f>InputsDetails!E97</f>
        <v>2000000</v>
      </c>
      <c r="F14" s="29">
        <f>InputsDetails!F97</f>
        <v>0</v>
      </c>
      <c r="G14" s="29">
        <f>InputsDetails!G97</f>
        <v>0</v>
      </c>
      <c r="H14" s="29">
        <f>InputsDetails!H97</f>
        <v>0</v>
      </c>
      <c r="I14" s="29">
        <f>InputsDetails!I97</f>
        <v>0</v>
      </c>
    </row>
    <row r="15" spans="1:9" x14ac:dyDescent="0.35">
      <c r="A15" t="s">
        <v>263</v>
      </c>
      <c r="B15" t="s">
        <v>199</v>
      </c>
      <c r="D15" s="29">
        <f>InputsDetails!D101</f>
        <v>0</v>
      </c>
      <c r="E15" s="29">
        <f>InputsDetails!E101</f>
        <v>0</v>
      </c>
      <c r="F15" s="29">
        <f>InputsDetails!F101</f>
        <v>4000000</v>
      </c>
      <c r="G15" s="29">
        <f>InputsDetails!G101</f>
        <v>0</v>
      </c>
      <c r="H15" s="29">
        <f>InputsDetails!H101</f>
        <v>0</v>
      </c>
      <c r="I15" s="29">
        <f>InputsDetails!I101</f>
        <v>0</v>
      </c>
    </row>
    <row r="16" spans="1:9" s="50" customFormat="1" x14ac:dyDescent="0.35">
      <c r="A16" s="50" t="s">
        <v>263</v>
      </c>
      <c r="B16" s="50" t="s">
        <v>195</v>
      </c>
      <c r="D16" s="91">
        <f>SUM(D13:D15)</f>
        <v>1800000</v>
      </c>
      <c r="E16" s="91">
        <f t="shared" ref="E16:H16" si="2">SUM(E13:E15)</f>
        <v>2000000</v>
      </c>
      <c r="F16" s="91">
        <f t="shared" si="2"/>
        <v>4000000</v>
      </c>
      <c r="G16" s="91">
        <f t="shared" si="2"/>
        <v>0</v>
      </c>
      <c r="H16" s="91">
        <f t="shared" si="2"/>
        <v>0</v>
      </c>
      <c r="I16" s="91">
        <f t="shared" ref="I16" si="3">SUM(I13:I15)</f>
        <v>0</v>
      </c>
    </row>
    <row r="17" spans="1:9" s="50" customFormat="1" x14ac:dyDescent="0.35">
      <c r="A17" s="50" t="s">
        <v>263</v>
      </c>
      <c r="B17" s="50" t="s">
        <v>196</v>
      </c>
      <c r="D17" s="91">
        <f>D16</f>
        <v>1800000</v>
      </c>
      <c r="E17" s="91">
        <f>D17+E16</f>
        <v>3800000</v>
      </c>
      <c r="F17" s="91">
        <f t="shared" ref="F17:H17" si="4">E17+F16</f>
        <v>7800000</v>
      </c>
      <c r="G17" s="91">
        <f t="shared" si="4"/>
        <v>7800000</v>
      </c>
      <c r="H17" s="91">
        <f t="shared" si="4"/>
        <v>7800000</v>
      </c>
      <c r="I17" s="91">
        <f t="shared" ref="I17" si="5">H17+I16</f>
        <v>7800000</v>
      </c>
    </row>
    <row r="18" spans="1:9" x14ac:dyDescent="0.35">
      <c r="A18" t="s">
        <v>263</v>
      </c>
      <c r="D18" s="31"/>
      <c r="E18" s="31"/>
      <c r="F18" s="31"/>
      <c r="G18" s="31"/>
      <c r="H18" s="31"/>
    </row>
    <row r="19" spans="1:9" x14ac:dyDescent="0.35">
      <c r="A19" t="s">
        <v>263</v>
      </c>
      <c r="B19" s="12" t="s">
        <v>159</v>
      </c>
      <c r="C19" s="12"/>
      <c r="D19" s="29">
        <f>D9+D11+D13+D14</f>
        <v>791000</v>
      </c>
      <c r="E19" s="29">
        <f t="shared" ref="E19:I19" si="6">E9+E11+E13+E14</f>
        <v>535800.51218750002</v>
      </c>
      <c r="F19" s="29">
        <f>F9+F11+F13+F14</f>
        <v>-793623.44671875006</v>
      </c>
      <c r="G19" s="29">
        <f t="shared" si="6"/>
        <v>2182681.3030000022</v>
      </c>
      <c r="H19" s="29">
        <f t="shared" si="6"/>
        <v>7208991.7218550043</v>
      </c>
      <c r="I19" s="29">
        <f t="shared" si="6"/>
        <v>14997700.754939206</v>
      </c>
    </row>
    <row r="20" spans="1:9" x14ac:dyDescent="0.35">
      <c r="A20" t="s">
        <v>263</v>
      </c>
      <c r="B20" s="12" t="s">
        <v>160</v>
      </c>
      <c r="C20" s="12"/>
      <c r="D20" s="29">
        <v>0</v>
      </c>
      <c r="E20" s="29">
        <f>D21</f>
        <v>791000</v>
      </c>
      <c r="F20" s="29">
        <f>E21</f>
        <v>1326800.5121875</v>
      </c>
      <c r="G20" s="29">
        <f>F21</f>
        <v>533177.06546874996</v>
      </c>
      <c r="H20" s="29">
        <f>G21</f>
        <v>2715858.3684687521</v>
      </c>
      <c r="I20" s="29">
        <f t="shared" ref="I20" si="7">H21</f>
        <v>9924850.0903237574</v>
      </c>
    </row>
    <row r="21" spans="1:9" s="50" customFormat="1" x14ac:dyDescent="0.35">
      <c r="A21" s="50" t="s">
        <v>263</v>
      </c>
      <c r="B21" s="11" t="s">
        <v>161</v>
      </c>
      <c r="C21" s="11"/>
      <c r="D21" s="92">
        <f>D19+D20</f>
        <v>791000</v>
      </c>
      <c r="E21" s="92">
        <f>E19+E20</f>
        <v>1326800.5121875</v>
      </c>
      <c r="F21" s="92">
        <f>F19+F20</f>
        <v>533177.06546874996</v>
      </c>
      <c r="G21" s="92">
        <f>G19+G20</f>
        <v>2715858.3684687521</v>
      </c>
      <c r="H21" s="92">
        <f>H19+H20</f>
        <v>9924850.0903237574</v>
      </c>
      <c r="I21" s="92">
        <f t="shared" ref="I21" si="8">I19+I20</f>
        <v>24922550.845262963</v>
      </c>
    </row>
    <row r="22" spans="1:9" x14ac:dyDescent="0.35">
      <c r="A22" t="s">
        <v>263</v>
      </c>
    </row>
    <row r="23" spans="1:9" x14ac:dyDescent="0.35">
      <c r="A23" t="s">
        <v>263</v>
      </c>
      <c r="B23" t="s">
        <v>209</v>
      </c>
      <c r="D23" s="31">
        <v>0</v>
      </c>
      <c r="E23" s="31">
        <v>0</v>
      </c>
      <c r="F23" s="31">
        <v>0</v>
      </c>
      <c r="G23" s="31">
        <f>1.5*D13</f>
        <v>2700000</v>
      </c>
      <c r="H23" s="31">
        <f>1.4*E14</f>
        <v>2800000</v>
      </c>
      <c r="I23" s="31">
        <f>F15*1.25</f>
        <v>5000000</v>
      </c>
    </row>
    <row r="24" spans="1:9" s="50" customFormat="1" x14ac:dyDescent="0.35">
      <c r="A24" s="50" t="s">
        <v>263</v>
      </c>
      <c r="B24" s="50" t="s">
        <v>200</v>
      </c>
      <c r="D24" s="93">
        <f>D21-D23</f>
        <v>791000</v>
      </c>
      <c r="E24" s="93">
        <f t="shared" ref="E24:I24" si="9">E21-E23</f>
        <v>1326800.5121875</v>
      </c>
      <c r="F24" s="93">
        <f t="shared" si="9"/>
        <v>533177.06546874996</v>
      </c>
      <c r="G24" s="93">
        <f t="shared" si="9"/>
        <v>15858.368468752131</v>
      </c>
      <c r="H24" s="93">
        <f t="shared" si="9"/>
        <v>7124850.0903237574</v>
      </c>
      <c r="I24" s="93">
        <f t="shared" si="9"/>
        <v>19922550.845262963</v>
      </c>
    </row>
  </sheetData>
  <mergeCells count="1">
    <mergeCell ref="B6:I6"/>
  </mergeCells>
  <phoneticPr fontId="2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BB86-28A0-4D94-8FA5-F7EEB396AA6A}">
  <sheetPr>
    <tabColor rgb="FF8B5CF6"/>
  </sheetPr>
  <dimension ref="B2:H10"/>
  <sheetViews>
    <sheetView workbookViewId="0">
      <selection activeCell="C11" sqref="C11"/>
    </sheetView>
  </sheetViews>
  <sheetFormatPr baseColWidth="10" defaultColWidth="8.7265625" defaultRowHeight="14.5" x14ac:dyDescent="0.35"/>
  <cols>
    <col min="1" max="1" width="2" customWidth="1"/>
    <col min="2" max="2" width="32.453125" customWidth="1"/>
    <col min="3" max="8" width="14" customWidth="1"/>
  </cols>
  <sheetData>
    <row r="2" spans="2:8" ht="23.5" x14ac:dyDescent="0.55000000000000004">
      <c r="B2" s="1" t="s">
        <v>154</v>
      </c>
    </row>
    <row r="6" spans="2:8" ht="15.5" x14ac:dyDescent="0.35">
      <c r="B6" s="131" t="s">
        <v>155</v>
      </c>
      <c r="C6" s="131"/>
      <c r="D6" s="120"/>
      <c r="E6" s="120"/>
      <c r="F6" s="120"/>
      <c r="G6" s="120"/>
      <c r="H6" s="120"/>
    </row>
    <row r="7" spans="2:8" x14ac:dyDescent="0.35">
      <c r="B7" s="17"/>
      <c r="C7" s="18">
        <v>2026</v>
      </c>
      <c r="D7" s="18">
        <v>2027</v>
      </c>
      <c r="E7" s="18">
        <v>2028</v>
      </c>
      <c r="F7" s="18">
        <v>2029</v>
      </c>
      <c r="G7" s="18">
        <v>2030</v>
      </c>
      <c r="H7" s="18">
        <v>2031</v>
      </c>
    </row>
    <row r="8" spans="2:8" x14ac:dyDescent="0.35">
      <c r="B8" s="12" t="s">
        <v>190</v>
      </c>
      <c r="C8" s="13">
        <f>IF(InputsSummary!C7&gt;0,InputsSummary!C33/InputsSummary!C7,0)</f>
        <v>0</v>
      </c>
      <c r="D8" s="13">
        <f>IF(InputsSummary!D7&gt;0,InputsSummary!D33/InputsSummary!D7,0)</f>
        <v>5.0433412135539788</v>
      </c>
      <c r="E8" s="13">
        <f>IF(InputsSummary!E7&gt;0,InputsSummary!E33/InputsSummary!E7,0)</f>
        <v>17.87234042553191</v>
      </c>
      <c r="F8" s="13">
        <f>IF(InputsSummary!F7&gt;0,InputsSummary!F33/InputsSummary!F7,0)</f>
        <v>22.580185317177474</v>
      </c>
      <c r="G8" s="13">
        <f>IF(InputsSummary!G7&gt;0,InputsSummary!G33/InputsSummary!G7,0)</f>
        <v>28.811973807296535</v>
      </c>
      <c r="H8" s="13">
        <f>IF(InputsSummary!H7&gt;0,InputsSummary!H33/InputsSummary!H7,0)</f>
        <v>38.044562687063511</v>
      </c>
    </row>
    <row r="9" spans="2:8" x14ac:dyDescent="0.35">
      <c r="B9" s="12" t="s">
        <v>191</v>
      </c>
      <c r="C9" s="13">
        <f>IF(InputsSummary!C13&gt;0,(InputsSummary!C23/(InputsSummary!C13*12))*0.95,0)</f>
        <v>0</v>
      </c>
      <c r="D9" s="13">
        <f>IF(InputsSummary!D13&gt;0,(InputsSummary!D23/(InputsSummary!D13*12))*0.95,0)</f>
        <v>52.738194444444446</v>
      </c>
      <c r="E9" s="13">
        <f>IF(InputsSummary!E13&gt;0,(InputsSummary!E23/(InputsSummary!E13*12))*0.95,0)</f>
        <v>71.226249999999993</v>
      </c>
      <c r="F9" s="13">
        <f>IF(InputsSummary!F13&gt;0,(InputsSummary!F23/(InputsSummary!F13*12))*0.95,0)</f>
        <v>92.989166666666677</v>
      </c>
      <c r="G9" s="13">
        <f>IF(InputsSummary!G13&gt;0,(InputsSummary!G23/(InputsSummary!G13*12))*0.95,0)</f>
        <v>106.27333333333334</v>
      </c>
      <c r="H9" s="13">
        <f>IF(InputsSummary!H13&gt;0,(InputsSummary!H23/(InputsSummary!H13*12))*0.95,0)</f>
        <v>123.98555555555558</v>
      </c>
    </row>
    <row r="10" spans="2:8" x14ac:dyDescent="0.35">
      <c r="B10" s="25" t="s">
        <v>113</v>
      </c>
      <c r="C10" s="94">
        <f t="shared" ref="C10:H10" si="0">IF(C8&gt;0,C9/C8,0)</f>
        <v>0</v>
      </c>
      <c r="D10" s="94">
        <f t="shared" si="0"/>
        <v>10.456995117187502</v>
      </c>
      <c r="E10" s="94">
        <f t="shared" si="0"/>
        <v>3.9852782738095245</v>
      </c>
      <c r="F10" s="94">
        <f t="shared" si="0"/>
        <v>4.1181755313552202</v>
      </c>
      <c r="G10" s="94">
        <f t="shared" si="0"/>
        <v>3.6885127705627712</v>
      </c>
      <c r="H10" s="94">
        <f t="shared" si="0"/>
        <v>3.2589559926184939</v>
      </c>
    </row>
  </sheetData>
  <mergeCells count="1">
    <mergeCell ref="B6:H6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EEEF-489E-4A07-90F9-24365B1A96DF}">
  <sheetPr>
    <tabColor rgb="FFC00000"/>
  </sheetPr>
  <dimension ref="B2:G13"/>
  <sheetViews>
    <sheetView workbookViewId="0">
      <selection activeCell="E13" sqref="E13"/>
    </sheetView>
  </sheetViews>
  <sheetFormatPr baseColWidth="10" defaultRowHeight="14.5" x14ac:dyDescent="0.35"/>
  <cols>
    <col min="2" max="2" width="36" bestFit="1" customWidth="1"/>
    <col min="3" max="3" width="15.54296875" bestFit="1" customWidth="1"/>
    <col min="5" max="5" width="18" bestFit="1" customWidth="1"/>
    <col min="7" max="7" width="17.81640625" bestFit="1" customWidth="1"/>
  </cols>
  <sheetData>
    <row r="2" spans="2:7" x14ac:dyDescent="0.35">
      <c r="G2" s="98" t="s">
        <v>250</v>
      </c>
    </row>
    <row r="3" spans="2:7" x14ac:dyDescent="0.35">
      <c r="C3" t="s">
        <v>202</v>
      </c>
      <c r="E3" t="s">
        <v>208</v>
      </c>
      <c r="G3" t="s">
        <v>210</v>
      </c>
    </row>
    <row r="5" spans="2:7" x14ac:dyDescent="0.35">
      <c r="B5" t="s">
        <v>212</v>
      </c>
      <c r="C5" s="31">
        <v>1800000</v>
      </c>
      <c r="E5" s="31">
        <v>2000000</v>
      </c>
      <c r="G5" s="31">
        <v>4000000</v>
      </c>
    </row>
    <row r="6" spans="2:7" x14ac:dyDescent="0.35">
      <c r="B6" t="s">
        <v>206</v>
      </c>
      <c r="C6" s="56">
        <v>0.15</v>
      </c>
      <c r="E6" s="56">
        <v>0.1</v>
      </c>
      <c r="G6" s="56">
        <v>0.05</v>
      </c>
    </row>
    <row r="7" spans="2:7" x14ac:dyDescent="0.35">
      <c r="B7" t="s">
        <v>207</v>
      </c>
      <c r="C7" s="56">
        <v>0.15</v>
      </c>
      <c r="E7" s="56">
        <v>0.1</v>
      </c>
      <c r="G7" s="56">
        <v>0.05</v>
      </c>
    </row>
    <row r="8" spans="2:7" x14ac:dyDescent="0.35">
      <c r="B8" t="s">
        <v>213</v>
      </c>
      <c r="C8" s="31">
        <v>200000</v>
      </c>
      <c r="E8" s="31">
        <v>1000000</v>
      </c>
      <c r="G8" s="31">
        <v>2000000</v>
      </c>
    </row>
    <row r="9" spans="2:7" x14ac:dyDescent="0.35">
      <c r="B9" t="s">
        <v>214</v>
      </c>
      <c r="C9" s="63">
        <v>9</v>
      </c>
      <c r="E9" s="63">
        <v>2</v>
      </c>
      <c r="G9" s="63">
        <v>4</v>
      </c>
    </row>
    <row r="10" spans="2:7" x14ac:dyDescent="0.35">
      <c r="B10" t="s">
        <v>215</v>
      </c>
      <c r="C10" s="56">
        <f>C7/C9</f>
        <v>1.6666666666666666E-2</v>
      </c>
      <c r="E10" s="56">
        <f>E7/E9</f>
        <v>0.05</v>
      </c>
      <c r="G10" s="56">
        <f>G7/G9</f>
        <v>1.2500000000000001E-2</v>
      </c>
    </row>
    <row r="11" spans="2:7" x14ac:dyDescent="0.35">
      <c r="B11" t="s">
        <v>205</v>
      </c>
      <c r="C11" s="56">
        <v>0</v>
      </c>
      <c r="E11" s="56">
        <v>0</v>
      </c>
      <c r="G11" s="56">
        <v>0</v>
      </c>
    </row>
    <row r="12" spans="2:7" x14ac:dyDescent="0.35">
      <c r="B12" t="s">
        <v>203</v>
      </c>
      <c r="C12" t="s">
        <v>204</v>
      </c>
      <c r="E12" t="s">
        <v>211</v>
      </c>
      <c r="G12" t="s">
        <v>211</v>
      </c>
    </row>
    <row r="13" spans="2:7" x14ac:dyDescent="0.35">
      <c r="B13" t="s">
        <v>216</v>
      </c>
      <c r="C13" s="31">
        <f>C5*1.5</f>
        <v>2700000</v>
      </c>
      <c r="E13" s="31">
        <f>E5*1.4</f>
        <v>2800000</v>
      </c>
      <c r="G13" s="31">
        <f>G5*1.25</f>
        <v>5000000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D948B06F2EFA43ADCEABE3E4AA54C2" ma:contentTypeVersion="13" ma:contentTypeDescription="Ein neues Dokument erstellen." ma:contentTypeScope="" ma:versionID="6dfcbc5b226812f240559930e9b420e4">
  <xsd:schema xmlns:xsd="http://www.w3.org/2001/XMLSchema" xmlns:xs="http://www.w3.org/2001/XMLSchema" xmlns:p="http://schemas.microsoft.com/office/2006/metadata/properties" xmlns:ns2="f824028e-b9e7-48e9-8d46-2eeb1ec0eb04" xmlns:ns3="fae43720-9d57-4b59-8b2b-bc3d2b99b1c8" targetNamespace="http://schemas.microsoft.com/office/2006/metadata/properties" ma:root="true" ma:fieldsID="dbf935958ac925c417eff623a99eeb49" ns2:_="" ns3:_="">
    <xsd:import namespace="f824028e-b9e7-48e9-8d46-2eeb1ec0eb04"/>
    <xsd:import namespace="fae43720-9d57-4b59-8b2b-bc3d2b99b1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4028e-b9e7-48e9-8d46-2eeb1ec0e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61ae5a9a-5620-4569-a1ec-30a5afba11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43720-9d57-4b59-8b2b-bc3d2b99b1c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42e157-bac5-4fbc-9dda-4e7de625d400}" ma:internalName="TaxCatchAll" ma:showField="CatchAllData" ma:web="fae43720-9d57-4b59-8b2b-bc3d2b99b1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24028e-b9e7-48e9-8d46-2eeb1ec0eb04">
      <Terms xmlns="http://schemas.microsoft.com/office/infopath/2007/PartnerControls"/>
    </lcf76f155ced4ddcb4097134ff3c332f>
    <TaxCatchAll xmlns="fae43720-9d57-4b59-8b2b-bc3d2b99b1c8" xsi:nil="true"/>
  </documentManagement>
</p:properties>
</file>

<file path=customXml/itemProps1.xml><?xml version="1.0" encoding="utf-8"?>
<ds:datastoreItem xmlns:ds="http://schemas.openxmlformats.org/officeDocument/2006/customXml" ds:itemID="{23298E27-6490-4BDE-AF39-477CB56AF6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348D2F-29F8-4488-ADB0-31783BD17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4028e-b9e7-48e9-8d46-2eeb1ec0eb04"/>
    <ds:schemaRef ds:uri="fae43720-9d57-4b59-8b2b-bc3d2b99b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0A722-69CD-4E07-8DB1-FF4FAEA33E49}">
  <ds:schemaRefs>
    <ds:schemaRef ds:uri="http://schemas.microsoft.com/office/2006/metadata/properties"/>
    <ds:schemaRef ds:uri="http://schemas.microsoft.com/office/infopath/2007/PartnerControls"/>
    <ds:schemaRef ds:uri="f824028e-b9e7-48e9-8d46-2eeb1ec0eb04"/>
    <ds:schemaRef ds:uri="fae43720-9d57-4b59-8b2b-bc3d2b99b1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Dashboard</vt:lpstr>
      <vt:lpstr>InputsDetails</vt:lpstr>
      <vt:lpstr>InputsSummary</vt:lpstr>
      <vt:lpstr>Revenue</vt:lpstr>
      <vt:lpstr>PLMonthly</vt:lpstr>
      <vt:lpstr>PLAnnualSummary</vt:lpstr>
      <vt:lpstr>CashFlow</vt:lpstr>
      <vt:lpstr>KPIs</vt:lpstr>
      <vt:lpstr>Invest Conditions</vt:lpstr>
      <vt:lpstr>Invest Percentage</vt:lpstr>
    </vt:vector>
  </TitlesOfParts>
  <Manager>Ruben Besteiro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Woozaa finalcial model</dc:subject>
  <dc:creator>Ruben Dario Besteiro Gonzalez</dc:creator>
  <dc:description>For WOOZAA by Kukenan</dc:description>
  <cp:lastModifiedBy>Peter Knacke</cp:lastModifiedBy>
  <dcterms:created xsi:type="dcterms:W3CDTF">2025-09-26T18:49:28Z</dcterms:created>
  <dcterms:modified xsi:type="dcterms:W3CDTF">2026-04-23T11:09:18Z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0x01010077D948B06F2EFA43ADCEABE3E4AA54C2</vt:lpwstr>
  </property>
  <property fmtid="{D5CDD505-2E9C-101B-9397-08002B2CF9AE}" pid="3" name="MediaServiceImageTags">
    <vt:lpwstr/>
  </property>
</Properties>
</file>